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imelineCaches/timelineCache1.xml" ContentType="application/vnd.ms-excel.timelineCache+xml"/>
  <Override PartName="/xl/timelineCaches/timelineCache2.xml" ContentType="application/vnd.ms-excel.timeline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slicers/slicer1.xml" ContentType="application/vnd.ms-excel.slicer+xml"/>
  <Override PartName="/xl/pivotTables/pivotTable1.xml" ContentType="application/vnd.openxmlformats-officedocument.spreadsheetml.pivotTable+xml"/>
  <Override PartName="/xl/drawings/drawing8.xml" ContentType="application/vnd.openxmlformats-officedocument.drawing+xml"/>
  <Override PartName="/xl/timelines/timeline1.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9.xml" ContentType="application/vnd.openxmlformats-officedocument.drawing+xml"/>
  <Override PartName="/xl/tables/table8.xml" ContentType="application/vnd.openxmlformats-officedocument.spreadsheetml.table+xml"/>
  <Override PartName="/xl/slicers/slicer2.xml" ContentType="application/vnd.ms-excel.slicer+xml"/>
  <Override PartName="/xl/timelines/timeline2.xml" ContentType="application/vnd.ms-excel.timelin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10.xml" ContentType="application/vnd.openxmlformats-officedocument.drawing+xml"/>
  <Override PartName="/xl/slicers/slicer3.xml" ContentType="application/vnd.ms-excel.slicer+xml"/>
  <Override PartName="/xl/drawings/drawing11.xml" ContentType="application/vnd.openxmlformats-officedocument.drawing+xml"/>
  <Override PartName="/xl/tables/table9.xml" ContentType="application/vnd.openxmlformats-officedocument.spreadsheetml.table+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D:\01_Geulah Ltd\03_CFA\Calculators\"/>
    </mc:Choice>
  </mc:AlternateContent>
  <xr:revisionPtr revIDLastSave="0" documentId="8_{C95696D6-797C-473F-B992-1B10CCCE8582}" xr6:coauthVersionLast="47" xr6:coauthVersionMax="47" xr10:uidLastSave="{00000000-0000-0000-0000-000000000000}"/>
  <bookViews>
    <workbookView xWindow="-28920" yWindow="-120" windowWidth="29040" windowHeight="15720" tabRatio="900" xr2:uid="{09041CDB-8F2C-42BA-901D-DBAF50B7CF06}"/>
  </bookViews>
  <sheets>
    <sheet name="🏠 Start Here!" sheetId="15" r:id="rId1"/>
    <sheet name="🔒 Debts" sheetId="1" r:id="rId2"/>
    <sheet name="🧨 Debt Planner" sheetId="21" r:id="rId3"/>
    <sheet name="🏡 Mortgage Calc" sheetId="19" r:id="rId4"/>
    <sheet name="🧩 Categories" sheetId="16" r:id="rId5"/>
    <sheet name="🎯 Budget" sheetId="7" r:id="rId6"/>
    <sheet name="🏦 Transactions" sheetId="5" r:id="rId7"/>
    <sheet name="📊 Report" sheetId="8" r:id="rId8"/>
    <sheet name="💰 Savings" sheetId="2" r:id="rId9"/>
    <sheet name="📈 Net Worth" sheetId="18" r:id="rId10"/>
    <sheet name="🧮 Analysis" sheetId="9" r:id="rId11"/>
    <sheet name="Nov Data" sheetId="6" r:id="rId12"/>
    <sheet name="More Resources" sheetId="14" r:id="rId13"/>
    <sheet name="Copyright" sheetId="13" r:id="rId14"/>
  </sheets>
  <definedNames>
    <definedName name="_xlcn.WorksheetConnection_InfoB6B7" localSheetId="0" hidden="1">#REF!</definedName>
    <definedName name="_xlcn.WorksheetConnection_InfoB6B7" hidden="1">#REF!</definedName>
    <definedName name="Categories" localSheetId="0">#REF!</definedName>
    <definedName name="Categories" localSheetId="4">TblCategories[Category]</definedName>
    <definedName name="Categories">#REF!</definedName>
    <definedName name="Debt" localSheetId="3">#REF!</definedName>
    <definedName name="Debt" localSheetId="9">#REF!</definedName>
    <definedName name="Debt">TblDebts[[#All],[Debt]]</definedName>
    <definedName name="NativeTimeline_Date" localSheetId="3">#N/A</definedName>
    <definedName name="NativeTimeline_Date" localSheetId="9">#N/A</definedName>
    <definedName name="NativeTimeline_Date">#N/A</definedName>
    <definedName name="NativeTimeline_Date2" localSheetId="3">#N/A</definedName>
    <definedName name="NativeTimeline_Date2" localSheetId="9">#N/A</definedName>
    <definedName name="NativeTimeline_Date2">#N/A</definedName>
    <definedName name="Slicer_Account" localSheetId="3">#N/A</definedName>
    <definedName name="Slicer_Account" localSheetId="9">#N/A</definedName>
    <definedName name="Slicer_Account">#N/A</definedName>
    <definedName name="Slicer_Account1" localSheetId="3">#N/A</definedName>
    <definedName name="Slicer_Account1" localSheetId="9">#N/A</definedName>
    <definedName name="Slicer_Account1">#N/A</definedName>
    <definedName name="Slicer_Category_Type" localSheetId="3">#N/A</definedName>
    <definedName name="Slicer_Category_Type" localSheetId="9">#N/A</definedName>
    <definedName name="Slicer_Category_Type">#N/A</definedName>
    <definedName name="Slicer_Category_Type1" localSheetId="3">#N/A</definedName>
    <definedName name="Slicer_Category_Type1" localSheetId="9">#N/A</definedName>
    <definedName name="Slicer_Category_Type1">#N/A</definedName>
    <definedName name="Slicer_Sub_category" localSheetId="3">#N/A</definedName>
    <definedName name="Slicer_Sub_category" localSheetId="9">#N/A</definedName>
    <definedName name="Slicer_Sub_category">#N/A</definedName>
    <definedName name="Sub_Categories" localSheetId="3">#REF!</definedName>
    <definedName name="Sub_Categories" localSheetId="9">#REF!</definedName>
    <definedName name="Sub_Categories">TblCategories[[#All],[Sub-category]]</definedName>
    <definedName name="Sub_category" localSheetId="3">#REF!</definedName>
    <definedName name="Sub_category" localSheetId="9">#REF!</definedName>
    <definedName name="Sub_category">TblCategories[[#All],[Sub-category]]</definedName>
    <definedName name="subcategories" localSheetId="0">#REF!</definedName>
    <definedName name="subcategories" localSheetId="3">#REF!</definedName>
    <definedName name="subcategories" localSheetId="9">#REF!</definedName>
    <definedName name="subcategories" localSheetId="4">TblCategories[Sub-category]</definedName>
    <definedName name="subcategories">TblDebts[Debt]</definedName>
  </definedNames>
  <calcPr calcId="191028"/>
  <pivotCaches>
    <pivotCache cacheId="0" r:id="rId15"/>
    <pivotCache cacheId="1" r:id="rId16"/>
    <pivotCache cacheId="2" r:id="rId17"/>
  </pivotCaches>
  <extLst>
    <ext xmlns:x14="http://schemas.microsoft.com/office/spreadsheetml/2009/9/main" uri="{BBE1A952-AA13-448e-AADC-164F8A28A991}">
      <x14:slicerCaches>
        <x14:slicerCache r:id="rId18"/>
        <x14:slicerCache r:id="rId19"/>
        <x14:slicerCache r:id="rId20"/>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21"/>
        <x15:timelineCacheRef r:id="rId22"/>
      </x15:timelineCacheRefs>
    </ext>
    <ext xmlns:x15="http://schemas.microsoft.com/office/spreadsheetml/2010/11/main" uri="{46BE6895-7355-4a93-B00E-2C351335B9C9}">
      <x15:slicerCaches xmlns:x14="http://schemas.microsoft.com/office/spreadsheetml/2009/9/main">
        <x14:slicerCache r:id="rId23"/>
        <x14:slicerCache r:id="rId24"/>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 i="2" l="1"/>
  <c r="E60" i="2"/>
  <c r="E57" i="2"/>
  <c r="E54" i="2"/>
  <c r="E51" i="2"/>
  <c r="E48" i="2"/>
  <c r="E45" i="2"/>
  <c r="E42" i="2"/>
  <c r="E39" i="2"/>
  <c r="E36" i="2"/>
  <c r="E33" i="2"/>
  <c r="E30" i="2"/>
  <c r="E62" i="2"/>
  <c r="E59" i="2"/>
  <c r="E56" i="2"/>
  <c r="E53" i="2"/>
  <c r="E50" i="2"/>
  <c r="E47" i="2"/>
  <c r="E44" i="2"/>
  <c r="E41" i="2"/>
  <c r="E38" i="2"/>
  <c r="E35" i="2"/>
  <c r="E32" i="2"/>
  <c r="E29" i="2"/>
  <c r="E61" i="2"/>
  <c r="E58" i="2"/>
  <c r="E55" i="2"/>
  <c r="E52" i="2"/>
  <c r="E49" i="2"/>
  <c r="E46" i="2"/>
  <c r="E43" i="2"/>
  <c r="E40" i="2"/>
  <c r="E37" i="2"/>
  <c r="E34" i="2"/>
  <c r="E31" i="2"/>
  <c r="E28" i="2"/>
  <c r="E42" i="7"/>
  <c r="F42" i="7"/>
  <c r="G42" i="7"/>
  <c r="H42" i="7"/>
  <c r="I42" i="7"/>
  <c r="J42" i="7"/>
  <c r="K42" i="7"/>
  <c r="L42" i="7"/>
  <c r="M42" i="7"/>
  <c r="N42" i="7"/>
  <c r="O42" i="7"/>
  <c r="D42" i="7"/>
  <c r="E39" i="7"/>
  <c r="F39" i="7"/>
  <c r="G39" i="7"/>
  <c r="H39" i="7"/>
  <c r="I39" i="7"/>
  <c r="J39" i="7"/>
  <c r="K39" i="7"/>
  <c r="L39" i="7"/>
  <c r="M39" i="7"/>
  <c r="N39" i="7"/>
  <c r="O39" i="7"/>
  <c r="D39" i="7"/>
  <c r="H5" i="1" l="1"/>
  <c r="H6" i="1"/>
  <c r="H7" i="1"/>
  <c r="H8" i="1"/>
  <c r="H9" i="1"/>
  <c r="E14" i="21"/>
  <c r="E15" i="21"/>
  <c r="E16" i="21"/>
  <c r="E17" i="21"/>
  <c r="E18" i="21"/>
  <c r="E13" i="21"/>
  <c r="D14" i="21"/>
  <c r="D15" i="21"/>
  <c r="D16" i="21"/>
  <c r="D17" i="21"/>
  <c r="D18" i="21"/>
  <c r="D13" i="21"/>
  <c r="E27" i="21"/>
  <c r="G27" i="21"/>
  <c r="M49" i="21"/>
  <c r="R49" i="21"/>
  <c r="W49" i="21"/>
  <c r="AB49" i="21"/>
  <c r="AG49" i="21"/>
  <c r="AL49" i="21"/>
  <c r="AV49" i="21"/>
  <c r="BA49" i="21"/>
  <c r="BF49" i="21"/>
  <c r="BK49" i="21"/>
  <c r="BP49" i="21"/>
  <c r="BU49" i="21"/>
  <c r="K53" i="21"/>
  <c r="AT53" i="21"/>
  <c r="AU53" i="21" s="1"/>
  <c r="G9" i="1"/>
  <c r="C18" i="21" s="1"/>
  <c r="AL53" i="21" s="1"/>
  <c r="C7" i="19"/>
  <c r="C6" i="19"/>
  <c r="F17" i="19"/>
  <c r="F18" i="19" s="1"/>
  <c r="I51" i="19"/>
  <c r="R51" i="19"/>
  <c r="S51" i="19"/>
  <c r="T51" i="19" s="1"/>
  <c r="I52" i="19"/>
  <c r="R52" i="19"/>
  <c r="I53" i="19"/>
  <c r="R53" i="19"/>
  <c r="I54" i="19"/>
  <c r="R54" i="19"/>
  <c r="I55" i="19"/>
  <c r="R55" i="19"/>
  <c r="I56" i="19"/>
  <c r="R56" i="19"/>
  <c r="I57" i="19"/>
  <c r="R57" i="19"/>
  <c r="I58" i="19"/>
  <c r="R58" i="19"/>
  <c r="I59" i="19"/>
  <c r="R59" i="19"/>
  <c r="I60" i="19"/>
  <c r="R60" i="19"/>
  <c r="I61" i="19"/>
  <c r="R61" i="19"/>
  <c r="I62" i="19"/>
  <c r="R62" i="19"/>
  <c r="I63" i="19"/>
  <c r="R63" i="19"/>
  <c r="I64" i="19"/>
  <c r="R64" i="19"/>
  <c r="I65" i="19"/>
  <c r="R65" i="19"/>
  <c r="I66" i="19"/>
  <c r="R66" i="19"/>
  <c r="I67" i="19"/>
  <c r="R67" i="19"/>
  <c r="I68" i="19"/>
  <c r="R68" i="19"/>
  <c r="I69" i="19"/>
  <c r="R69" i="19"/>
  <c r="I70" i="19"/>
  <c r="R70" i="19"/>
  <c r="I71" i="19"/>
  <c r="R71" i="19"/>
  <c r="I72" i="19"/>
  <c r="R72" i="19"/>
  <c r="I73" i="19"/>
  <c r="R73" i="19"/>
  <c r="I74" i="19"/>
  <c r="R74" i="19"/>
  <c r="I75" i="19"/>
  <c r="R75" i="19"/>
  <c r="I76" i="19"/>
  <c r="R76" i="19"/>
  <c r="I77" i="19"/>
  <c r="R77" i="19"/>
  <c r="I78" i="19"/>
  <c r="R78" i="19"/>
  <c r="I79" i="19"/>
  <c r="R79" i="19"/>
  <c r="I80" i="19"/>
  <c r="R80" i="19"/>
  <c r="I81" i="19"/>
  <c r="R81" i="19"/>
  <c r="I82" i="19"/>
  <c r="R82" i="19"/>
  <c r="I83" i="19"/>
  <c r="R83" i="19"/>
  <c r="I84" i="19"/>
  <c r="R84" i="19"/>
  <c r="I85" i="19"/>
  <c r="R85" i="19"/>
  <c r="I86" i="19"/>
  <c r="R86" i="19"/>
  <c r="I87" i="19"/>
  <c r="R87" i="19"/>
  <c r="I88" i="19"/>
  <c r="R88" i="19"/>
  <c r="I89" i="19"/>
  <c r="R89" i="19"/>
  <c r="I90" i="19"/>
  <c r="R90" i="19"/>
  <c r="I91" i="19"/>
  <c r="R91" i="19"/>
  <c r="I92" i="19"/>
  <c r="R92" i="19"/>
  <c r="I93" i="19"/>
  <c r="R93" i="19"/>
  <c r="I94" i="19"/>
  <c r="R94" i="19"/>
  <c r="I95" i="19"/>
  <c r="R95" i="19"/>
  <c r="I96" i="19"/>
  <c r="R96" i="19"/>
  <c r="I97" i="19"/>
  <c r="R97" i="19"/>
  <c r="I98" i="19"/>
  <c r="R98" i="19"/>
  <c r="I99" i="19"/>
  <c r="R99" i="19"/>
  <c r="I100" i="19"/>
  <c r="R100" i="19"/>
  <c r="I101" i="19"/>
  <c r="R101" i="19"/>
  <c r="I102" i="19"/>
  <c r="R102" i="19"/>
  <c r="I103" i="19"/>
  <c r="R103" i="19"/>
  <c r="I104" i="19"/>
  <c r="R104" i="19"/>
  <c r="I105" i="19"/>
  <c r="R105" i="19"/>
  <c r="I106" i="19"/>
  <c r="R106" i="19"/>
  <c r="I107" i="19"/>
  <c r="R107" i="19"/>
  <c r="I108" i="19"/>
  <c r="R108" i="19"/>
  <c r="I109" i="19"/>
  <c r="R109" i="19"/>
  <c r="I110" i="19"/>
  <c r="R110" i="19"/>
  <c r="I111" i="19"/>
  <c r="R111" i="19"/>
  <c r="I112" i="19"/>
  <c r="R112" i="19"/>
  <c r="I113" i="19"/>
  <c r="R113" i="19"/>
  <c r="I114" i="19"/>
  <c r="R114" i="19"/>
  <c r="I115" i="19"/>
  <c r="R115" i="19"/>
  <c r="I116" i="19"/>
  <c r="R116" i="19"/>
  <c r="I117" i="19"/>
  <c r="R117" i="19"/>
  <c r="I118" i="19"/>
  <c r="R118" i="19"/>
  <c r="I119" i="19"/>
  <c r="R119" i="19"/>
  <c r="I120" i="19"/>
  <c r="R120" i="19"/>
  <c r="I121" i="19"/>
  <c r="R121" i="19"/>
  <c r="I122" i="19"/>
  <c r="R122" i="19"/>
  <c r="I123" i="19"/>
  <c r="R123" i="19"/>
  <c r="I124" i="19"/>
  <c r="R124" i="19"/>
  <c r="I125" i="19"/>
  <c r="R125" i="19"/>
  <c r="I126" i="19"/>
  <c r="R126" i="19"/>
  <c r="I127" i="19"/>
  <c r="R127" i="19"/>
  <c r="I128" i="19"/>
  <c r="R128" i="19"/>
  <c r="I129" i="19"/>
  <c r="R129" i="19"/>
  <c r="I130" i="19"/>
  <c r="R130" i="19"/>
  <c r="I131" i="19"/>
  <c r="R131" i="19"/>
  <c r="I132" i="19"/>
  <c r="R132" i="19"/>
  <c r="I133" i="19"/>
  <c r="R133" i="19"/>
  <c r="I134" i="19"/>
  <c r="R134" i="19"/>
  <c r="I135" i="19"/>
  <c r="R135" i="19"/>
  <c r="I136" i="19"/>
  <c r="R136" i="19"/>
  <c r="I137" i="19"/>
  <c r="R137" i="19"/>
  <c r="I138" i="19"/>
  <c r="R138" i="19"/>
  <c r="I139" i="19"/>
  <c r="R139" i="19"/>
  <c r="I140" i="19"/>
  <c r="R140" i="19"/>
  <c r="I141" i="19"/>
  <c r="R141" i="19"/>
  <c r="I142" i="19"/>
  <c r="R142" i="19"/>
  <c r="I143" i="19"/>
  <c r="R143" i="19"/>
  <c r="I144" i="19"/>
  <c r="R144" i="19"/>
  <c r="I145" i="19"/>
  <c r="R145" i="19"/>
  <c r="I146" i="19"/>
  <c r="R146" i="19"/>
  <c r="I147" i="19"/>
  <c r="R147" i="19"/>
  <c r="I148" i="19"/>
  <c r="R148" i="19"/>
  <c r="I149" i="19"/>
  <c r="R149" i="19"/>
  <c r="I150" i="19"/>
  <c r="R150" i="19"/>
  <c r="I151" i="19"/>
  <c r="R151" i="19"/>
  <c r="I152" i="19"/>
  <c r="R152" i="19"/>
  <c r="I153" i="19"/>
  <c r="R153" i="19"/>
  <c r="I154" i="19"/>
  <c r="R154" i="19"/>
  <c r="I155" i="19"/>
  <c r="R155" i="19"/>
  <c r="I156" i="19"/>
  <c r="R156" i="19"/>
  <c r="I157" i="19"/>
  <c r="R157" i="19"/>
  <c r="I158" i="19"/>
  <c r="R158" i="19"/>
  <c r="I159" i="19"/>
  <c r="R159" i="19"/>
  <c r="I160" i="19"/>
  <c r="R160" i="19"/>
  <c r="I161" i="19"/>
  <c r="R161" i="19"/>
  <c r="I162" i="19"/>
  <c r="R162" i="19"/>
  <c r="I163" i="19"/>
  <c r="R163" i="19"/>
  <c r="I164" i="19"/>
  <c r="R164" i="19"/>
  <c r="I165" i="19"/>
  <c r="R165" i="19"/>
  <c r="I166" i="19"/>
  <c r="R166" i="19"/>
  <c r="I167" i="19"/>
  <c r="R167" i="19"/>
  <c r="I168" i="19"/>
  <c r="R168" i="19"/>
  <c r="I169" i="19"/>
  <c r="R169" i="19"/>
  <c r="I170" i="19"/>
  <c r="R170" i="19"/>
  <c r="I171" i="19"/>
  <c r="R171" i="19"/>
  <c r="I172" i="19"/>
  <c r="R172" i="19"/>
  <c r="I173" i="19"/>
  <c r="R173" i="19"/>
  <c r="I174" i="19"/>
  <c r="R174" i="19"/>
  <c r="I175" i="19"/>
  <c r="R175" i="19"/>
  <c r="I176" i="19"/>
  <c r="R176" i="19"/>
  <c r="I177" i="19"/>
  <c r="R177" i="19"/>
  <c r="I178" i="19"/>
  <c r="R178" i="19"/>
  <c r="I179" i="19"/>
  <c r="R179" i="19"/>
  <c r="I180" i="19"/>
  <c r="R180" i="19"/>
  <c r="I181" i="19"/>
  <c r="R181" i="19"/>
  <c r="I182" i="19"/>
  <c r="R182" i="19"/>
  <c r="I183" i="19"/>
  <c r="R183" i="19"/>
  <c r="I184" i="19"/>
  <c r="R184" i="19"/>
  <c r="I185" i="19"/>
  <c r="R185" i="19"/>
  <c r="I186" i="19"/>
  <c r="R186" i="19"/>
  <c r="I187" i="19"/>
  <c r="R187" i="19"/>
  <c r="I188" i="19"/>
  <c r="R188" i="19"/>
  <c r="I189" i="19"/>
  <c r="R189" i="19"/>
  <c r="I190" i="19"/>
  <c r="R190" i="19"/>
  <c r="I191" i="19"/>
  <c r="R191" i="19"/>
  <c r="I192" i="19"/>
  <c r="R192" i="19"/>
  <c r="I193" i="19"/>
  <c r="R193" i="19"/>
  <c r="I194" i="19"/>
  <c r="R194" i="19"/>
  <c r="I195" i="19"/>
  <c r="R195" i="19"/>
  <c r="I196" i="19"/>
  <c r="R196" i="19"/>
  <c r="I197" i="19"/>
  <c r="R197" i="19"/>
  <c r="I198" i="19"/>
  <c r="R198" i="19"/>
  <c r="I199" i="19"/>
  <c r="R199" i="19"/>
  <c r="I200" i="19"/>
  <c r="R200" i="19"/>
  <c r="I201" i="19"/>
  <c r="R201" i="19"/>
  <c r="I202" i="19"/>
  <c r="R202" i="19"/>
  <c r="I203" i="19"/>
  <c r="R203" i="19"/>
  <c r="I204" i="19"/>
  <c r="R204" i="19"/>
  <c r="I205" i="19"/>
  <c r="R205" i="19"/>
  <c r="I206" i="19"/>
  <c r="R206" i="19"/>
  <c r="I207" i="19"/>
  <c r="R207" i="19"/>
  <c r="I208" i="19"/>
  <c r="R208" i="19"/>
  <c r="I209" i="19"/>
  <c r="R209" i="19"/>
  <c r="I210" i="19"/>
  <c r="R210" i="19"/>
  <c r="I211" i="19"/>
  <c r="R211" i="19"/>
  <c r="I212" i="19"/>
  <c r="R212" i="19"/>
  <c r="I213" i="19"/>
  <c r="R213" i="19"/>
  <c r="I214" i="19"/>
  <c r="R214" i="19"/>
  <c r="I215" i="19"/>
  <c r="R215" i="19"/>
  <c r="I216" i="19"/>
  <c r="R216" i="19"/>
  <c r="I217" i="19"/>
  <c r="R217" i="19"/>
  <c r="I218" i="19"/>
  <c r="R218" i="19"/>
  <c r="I219" i="19"/>
  <c r="R219" i="19"/>
  <c r="I220" i="19"/>
  <c r="R220" i="19"/>
  <c r="I221" i="19"/>
  <c r="R221" i="19"/>
  <c r="I222" i="19"/>
  <c r="R222" i="19"/>
  <c r="I223" i="19"/>
  <c r="R223" i="19"/>
  <c r="I224" i="19"/>
  <c r="R224" i="19"/>
  <c r="I225" i="19"/>
  <c r="R225" i="19"/>
  <c r="I226" i="19"/>
  <c r="R226" i="19"/>
  <c r="I227" i="19"/>
  <c r="R227" i="19"/>
  <c r="I228" i="19"/>
  <c r="R228" i="19"/>
  <c r="I229" i="19"/>
  <c r="R229" i="19"/>
  <c r="I230" i="19"/>
  <c r="R230" i="19"/>
  <c r="I231" i="19"/>
  <c r="R231" i="19"/>
  <c r="I232" i="19"/>
  <c r="R232" i="19"/>
  <c r="I233" i="19"/>
  <c r="R233" i="19"/>
  <c r="I234" i="19"/>
  <c r="R234" i="19"/>
  <c r="I235" i="19"/>
  <c r="R235" i="19"/>
  <c r="I236" i="19"/>
  <c r="R236" i="19"/>
  <c r="I237" i="19"/>
  <c r="R237" i="19"/>
  <c r="I238" i="19"/>
  <c r="R238" i="19"/>
  <c r="I239" i="19"/>
  <c r="R239" i="19"/>
  <c r="I240" i="19"/>
  <c r="R240" i="19"/>
  <c r="I241" i="19"/>
  <c r="R241" i="19"/>
  <c r="I242" i="19"/>
  <c r="R242" i="19"/>
  <c r="I243" i="19"/>
  <c r="R243" i="19"/>
  <c r="I244" i="19"/>
  <c r="R244" i="19"/>
  <c r="I245" i="19"/>
  <c r="R245" i="19"/>
  <c r="I246" i="19"/>
  <c r="R246" i="19"/>
  <c r="I247" i="19"/>
  <c r="R247" i="19"/>
  <c r="I248" i="19"/>
  <c r="R248" i="19"/>
  <c r="I249" i="19"/>
  <c r="R249" i="19"/>
  <c r="I250" i="19"/>
  <c r="R250" i="19"/>
  <c r="I251" i="19"/>
  <c r="R251" i="19"/>
  <c r="I252" i="19"/>
  <c r="R252" i="19"/>
  <c r="I253" i="19"/>
  <c r="R253" i="19"/>
  <c r="I254" i="19"/>
  <c r="R254" i="19"/>
  <c r="I255" i="19"/>
  <c r="R255" i="19"/>
  <c r="I256" i="19"/>
  <c r="R256" i="19"/>
  <c r="I257" i="19"/>
  <c r="R257" i="19"/>
  <c r="I258" i="19"/>
  <c r="R258" i="19"/>
  <c r="I259" i="19"/>
  <c r="R259" i="19"/>
  <c r="I260" i="19"/>
  <c r="R260" i="19"/>
  <c r="I261" i="19"/>
  <c r="R261" i="19"/>
  <c r="I262" i="19"/>
  <c r="R262" i="19"/>
  <c r="I263" i="19"/>
  <c r="R263" i="19"/>
  <c r="I264" i="19"/>
  <c r="R264" i="19"/>
  <c r="I265" i="19"/>
  <c r="R265" i="19"/>
  <c r="I266" i="19"/>
  <c r="R266" i="19"/>
  <c r="I267" i="19"/>
  <c r="R267" i="19"/>
  <c r="I268" i="19"/>
  <c r="R268" i="19"/>
  <c r="I269" i="19"/>
  <c r="R269" i="19"/>
  <c r="I270" i="19"/>
  <c r="R270" i="19"/>
  <c r="I271" i="19"/>
  <c r="R271" i="19"/>
  <c r="I272" i="19"/>
  <c r="R272" i="19"/>
  <c r="I273" i="19"/>
  <c r="R273" i="19"/>
  <c r="I274" i="19"/>
  <c r="R274" i="19"/>
  <c r="I275" i="19"/>
  <c r="R275" i="19"/>
  <c r="I276" i="19"/>
  <c r="R276" i="19"/>
  <c r="I277" i="19"/>
  <c r="R277" i="19"/>
  <c r="I278" i="19"/>
  <c r="R278" i="19"/>
  <c r="I279" i="19"/>
  <c r="R279" i="19"/>
  <c r="I280" i="19"/>
  <c r="R280" i="19"/>
  <c r="I281" i="19"/>
  <c r="R281" i="19"/>
  <c r="I282" i="19"/>
  <c r="R282" i="19"/>
  <c r="I283" i="19"/>
  <c r="R283" i="19"/>
  <c r="I284" i="19"/>
  <c r="R284" i="19"/>
  <c r="I285" i="19"/>
  <c r="R285" i="19"/>
  <c r="I286" i="19"/>
  <c r="R286" i="19"/>
  <c r="I287" i="19"/>
  <c r="R287" i="19"/>
  <c r="I288" i="19"/>
  <c r="R288" i="19"/>
  <c r="I289" i="19"/>
  <c r="R289" i="19"/>
  <c r="I290" i="19"/>
  <c r="R290" i="19"/>
  <c r="I291" i="19"/>
  <c r="R291" i="19"/>
  <c r="I292" i="19"/>
  <c r="R292" i="19"/>
  <c r="I293" i="19"/>
  <c r="R293" i="19"/>
  <c r="I294" i="19"/>
  <c r="R294" i="19"/>
  <c r="I295" i="19"/>
  <c r="R295" i="19"/>
  <c r="I296" i="19"/>
  <c r="R296" i="19"/>
  <c r="I297" i="19"/>
  <c r="R297" i="19"/>
  <c r="I298" i="19"/>
  <c r="R298" i="19"/>
  <c r="I299" i="19"/>
  <c r="R299" i="19"/>
  <c r="I300" i="19"/>
  <c r="R300" i="19"/>
  <c r="I301" i="19"/>
  <c r="R301" i="19"/>
  <c r="I302" i="19"/>
  <c r="R302" i="19"/>
  <c r="I303" i="19"/>
  <c r="R303" i="19"/>
  <c r="I304" i="19"/>
  <c r="R304" i="19"/>
  <c r="I305" i="19"/>
  <c r="R305" i="19"/>
  <c r="I306" i="19"/>
  <c r="R306" i="19"/>
  <c r="I307" i="19"/>
  <c r="R307" i="19"/>
  <c r="I308" i="19"/>
  <c r="R308" i="19"/>
  <c r="I309" i="19"/>
  <c r="R309" i="19"/>
  <c r="I310" i="19"/>
  <c r="R310" i="19"/>
  <c r="I311" i="19"/>
  <c r="R311" i="19"/>
  <c r="I312" i="19"/>
  <c r="R312" i="19"/>
  <c r="I313" i="19"/>
  <c r="R313" i="19"/>
  <c r="I314" i="19"/>
  <c r="R314" i="19"/>
  <c r="I315" i="19"/>
  <c r="R315" i="19"/>
  <c r="I316" i="19"/>
  <c r="R316" i="19"/>
  <c r="I317" i="19"/>
  <c r="R317" i="19"/>
  <c r="I318" i="19"/>
  <c r="R318" i="19"/>
  <c r="I319" i="19"/>
  <c r="R319" i="19"/>
  <c r="I320" i="19"/>
  <c r="R320" i="19"/>
  <c r="I321" i="19"/>
  <c r="R321" i="19"/>
  <c r="I322" i="19"/>
  <c r="R322" i="19"/>
  <c r="I323" i="19"/>
  <c r="R323" i="19"/>
  <c r="I324" i="19"/>
  <c r="R324" i="19"/>
  <c r="I325" i="19"/>
  <c r="R325" i="19"/>
  <c r="I326" i="19"/>
  <c r="R326" i="19"/>
  <c r="I327" i="19"/>
  <c r="R327" i="19"/>
  <c r="I328" i="19"/>
  <c r="R328" i="19"/>
  <c r="I329" i="19"/>
  <c r="R329" i="19"/>
  <c r="I330" i="19"/>
  <c r="R330" i="19"/>
  <c r="I331" i="19"/>
  <c r="R331" i="19"/>
  <c r="I332" i="19"/>
  <c r="R332" i="19"/>
  <c r="I333" i="19"/>
  <c r="R333" i="19"/>
  <c r="I334" i="19"/>
  <c r="R334" i="19"/>
  <c r="I335" i="19"/>
  <c r="R335" i="19"/>
  <c r="I336" i="19"/>
  <c r="R336" i="19"/>
  <c r="I337" i="19"/>
  <c r="R337" i="19"/>
  <c r="I338" i="19"/>
  <c r="R338" i="19"/>
  <c r="I339" i="19"/>
  <c r="R339" i="19"/>
  <c r="I340" i="19"/>
  <c r="R340" i="19"/>
  <c r="I341" i="19"/>
  <c r="R341" i="19"/>
  <c r="I342" i="19"/>
  <c r="R342" i="19"/>
  <c r="I343" i="19"/>
  <c r="R343" i="19"/>
  <c r="I344" i="19"/>
  <c r="R344" i="19"/>
  <c r="I345" i="19"/>
  <c r="R345" i="19"/>
  <c r="I346" i="19"/>
  <c r="R346" i="19"/>
  <c r="I347" i="19"/>
  <c r="R347" i="19"/>
  <c r="I348" i="19"/>
  <c r="R348" i="19"/>
  <c r="I349" i="19"/>
  <c r="R349" i="19"/>
  <c r="I350" i="19"/>
  <c r="R350" i="19"/>
  <c r="I351" i="19"/>
  <c r="R351" i="19"/>
  <c r="I352" i="19"/>
  <c r="R352" i="19"/>
  <c r="I353" i="19"/>
  <c r="R353" i="19"/>
  <c r="I354" i="19"/>
  <c r="R354" i="19"/>
  <c r="I355" i="19"/>
  <c r="R355" i="19"/>
  <c r="I356" i="19"/>
  <c r="R356" i="19"/>
  <c r="I357" i="19"/>
  <c r="R357" i="19"/>
  <c r="I358" i="19"/>
  <c r="R358" i="19"/>
  <c r="I359" i="19"/>
  <c r="R359" i="19"/>
  <c r="I360" i="19"/>
  <c r="R360" i="19"/>
  <c r="I361" i="19"/>
  <c r="R361" i="19"/>
  <c r="I362" i="19"/>
  <c r="R362" i="19"/>
  <c r="I363" i="19"/>
  <c r="R363" i="19"/>
  <c r="I364" i="19"/>
  <c r="R364" i="19"/>
  <c r="I365" i="19"/>
  <c r="R365" i="19"/>
  <c r="I366" i="19"/>
  <c r="R366" i="19"/>
  <c r="I367" i="19"/>
  <c r="R367" i="19"/>
  <c r="I368" i="19"/>
  <c r="R368" i="19"/>
  <c r="I369" i="19"/>
  <c r="R369" i="19"/>
  <c r="I370" i="19"/>
  <c r="R370" i="19"/>
  <c r="I371" i="19"/>
  <c r="R371" i="19"/>
  <c r="I372" i="19"/>
  <c r="R372" i="19"/>
  <c r="I373" i="19"/>
  <c r="R373" i="19"/>
  <c r="I374" i="19"/>
  <c r="R374" i="19"/>
  <c r="I375" i="19"/>
  <c r="R375" i="19"/>
  <c r="I376" i="19"/>
  <c r="R376" i="19"/>
  <c r="I377" i="19"/>
  <c r="R377" i="19"/>
  <c r="I378" i="19"/>
  <c r="R378" i="19"/>
  <c r="I379" i="19"/>
  <c r="R379" i="19"/>
  <c r="I380" i="19"/>
  <c r="R380" i="19"/>
  <c r="I381" i="19"/>
  <c r="R381" i="19"/>
  <c r="I382" i="19"/>
  <c r="R382" i="19"/>
  <c r="I383" i="19"/>
  <c r="R383" i="19"/>
  <c r="I384" i="19"/>
  <c r="R384" i="19"/>
  <c r="I385" i="19"/>
  <c r="R385" i="19"/>
  <c r="I386" i="19"/>
  <c r="R386" i="19"/>
  <c r="I387" i="19"/>
  <c r="R387" i="19"/>
  <c r="I388" i="19"/>
  <c r="R388" i="19"/>
  <c r="I389" i="19"/>
  <c r="R389" i="19"/>
  <c r="I390" i="19"/>
  <c r="R390" i="19"/>
  <c r="I391" i="19"/>
  <c r="R391" i="19"/>
  <c r="I392" i="19"/>
  <c r="R392" i="19"/>
  <c r="I393" i="19"/>
  <c r="R393" i="19"/>
  <c r="I394" i="19"/>
  <c r="R394" i="19"/>
  <c r="I395" i="19"/>
  <c r="R395" i="19"/>
  <c r="I396" i="19"/>
  <c r="R396" i="19"/>
  <c r="I397" i="19"/>
  <c r="R397" i="19"/>
  <c r="I398" i="19"/>
  <c r="R398" i="19"/>
  <c r="I399" i="19"/>
  <c r="R399" i="19"/>
  <c r="I400" i="19"/>
  <c r="R400" i="19"/>
  <c r="I401" i="19"/>
  <c r="R401" i="19"/>
  <c r="I402" i="19"/>
  <c r="R402" i="19"/>
  <c r="I403" i="19"/>
  <c r="R403" i="19"/>
  <c r="I404" i="19"/>
  <c r="R404" i="19"/>
  <c r="I405" i="19"/>
  <c r="R405" i="19"/>
  <c r="I406" i="19"/>
  <c r="R406" i="19"/>
  <c r="I407" i="19"/>
  <c r="R407" i="19"/>
  <c r="I408" i="19"/>
  <c r="R408" i="19"/>
  <c r="I409" i="19"/>
  <c r="R409" i="19"/>
  <c r="I410" i="19"/>
  <c r="R410" i="19"/>
  <c r="I411" i="19"/>
  <c r="R411" i="19"/>
  <c r="I412" i="19"/>
  <c r="R412" i="19"/>
  <c r="I413" i="19"/>
  <c r="R413" i="19"/>
  <c r="I414" i="19"/>
  <c r="R414" i="19"/>
  <c r="I415" i="19"/>
  <c r="R415" i="19"/>
  <c r="I416" i="19"/>
  <c r="R416" i="19"/>
  <c r="I417" i="19"/>
  <c r="R417" i="19"/>
  <c r="I418" i="19"/>
  <c r="R418" i="19"/>
  <c r="I419" i="19"/>
  <c r="R419" i="19"/>
  <c r="I420" i="19"/>
  <c r="R420" i="19"/>
  <c r="I421" i="19"/>
  <c r="R421" i="19"/>
  <c r="I422" i="19"/>
  <c r="R422" i="19"/>
  <c r="I423" i="19"/>
  <c r="R423" i="19"/>
  <c r="I424" i="19"/>
  <c r="R424" i="19"/>
  <c r="I425" i="19"/>
  <c r="R425" i="19"/>
  <c r="I426" i="19"/>
  <c r="R426" i="19"/>
  <c r="I427" i="19"/>
  <c r="R427" i="19"/>
  <c r="I428" i="19"/>
  <c r="R428" i="19"/>
  <c r="I429" i="19"/>
  <c r="R429" i="19"/>
  <c r="I430" i="19"/>
  <c r="R430" i="19"/>
  <c r="I431" i="19"/>
  <c r="R431" i="19"/>
  <c r="I432" i="19"/>
  <c r="R432" i="19"/>
  <c r="I433" i="19"/>
  <c r="R433" i="19"/>
  <c r="I434" i="19"/>
  <c r="R434" i="19"/>
  <c r="I435" i="19"/>
  <c r="R435" i="19"/>
  <c r="I436" i="19"/>
  <c r="R436" i="19"/>
  <c r="I437" i="19"/>
  <c r="R437" i="19"/>
  <c r="I438" i="19"/>
  <c r="R438" i="19"/>
  <c r="I439" i="19"/>
  <c r="R439" i="19"/>
  <c r="I440" i="19"/>
  <c r="R440" i="19"/>
  <c r="I441" i="19"/>
  <c r="R441" i="19"/>
  <c r="I442" i="19"/>
  <c r="R442" i="19"/>
  <c r="I443" i="19"/>
  <c r="R443" i="19"/>
  <c r="I444" i="19"/>
  <c r="R444" i="19"/>
  <c r="I445" i="19"/>
  <c r="R445" i="19"/>
  <c r="I446" i="19"/>
  <c r="R446" i="19"/>
  <c r="I447" i="19"/>
  <c r="R447" i="19"/>
  <c r="I448" i="19"/>
  <c r="R448" i="19"/>
  <c r="I449" i="19"/>
  <c r="R449" i="19"/>
  <c r="I450" i="19"/>
  <c r="R450" i="19"/>
  <c r="I451" i="19"/>
  <c r="R451" i="19"/>
  <c r="I452" i="19"/>
  <c r="R452" i="19"/>
  <c r="I453" i="19"/>
  <c r="R453" i="19"/>
  <c r="I454" i="19"/>
  <c r="R454" i="19"/>
  <c r="I455" i="19"/>
  <c r="R455" i="19"/>
  <c r="I456" i="19"/>
  <c r="R456" i="19"/>
  <c r="I457" i="19"/>
  <c r="R457" i="19"/>
  <c r="I458" i="19"/>
  <c r="R458" i="19"/>
  <c r="I459" i="19"/>
  <c r="R459" i="19"/>
  <c r="I460" i="19"/>
  <c r="R460" i="19"/>
  <c r="I461" i="19"/>
  <c r="R461" i="19"/>
  <c r="I462" i="19"/>
  <c r="R462" i="19"/>
  <c r="I463" i="19"/>
  <c r="R463" i="19"/>
  <c r="I464" i="19"/>
  <c r="R464" i="19"/>
  <c r="I465" i="19"/>
  <c r="R465" i="19"/>
  <c r="I466" i="19"/>
  <c r="R466" i="19"/>
  <c r="I467" i="19"/>
  <c r="R467" i="19"/>
  <c r="I468" i="19"/>
  <c r="R468" i="19"/>
  <c r="I469" i="19"/>
  <c r="R469" i="19"/>
  <c r="I470" i="19"/>
  <c r="R470" i="19"/>
  <c r="I471" i="19"/>
  <c r="R471" i="19"/>
  <c r="I472" i="19"/>
  <c r="R472" i="19"/>
  <c r="I473" i="19"/>
  <c r="R473" i="19"/>
  <c r="I474" i="19"/>
  <c r="R474" i="19"/>
  <c r="I475" i="19"/>
  <c r="R475" i="19"/>
  <c r="I476" i="19"/>
  <c r="R476" i="19"/>
  <c r="I477" i="19"/>
  <c r="R477" i="19"/>
  <c r="I478" i="19"/>
  <c r="R478" i="19"/>
  <c r="I479" i="19"/>
  <c r="R479" i="19"/>
  <c r="I480" i="19"/>
  <c r="R480" i="19"/>
  <c r="I481" i="19"/>
  <c r="R481" i="19"/>
  <c r="I482" i="19"/>
  <c r="R482" i="19"/>
  <c r="I483" i="19"/>
  <c r="R483" i="19"/>
  <c r="I484" i="19"/>
  <c r="R484" i="19"/>
  <c r="I485" i="19"/>
  <c r="R485" i="19"/>
  <c r="I486" i="19"/>
  <c r="R486" i="19"/>
  <c r="I487" i="19"/>
  <c r="R487" i="19"/>
  <c r="I488" i="19"/>
  <c r="R488" i="19"/>
  <c r="I489" i="19"/>
  <c r="R489" i="19"/>
  <c r="I490" i="19"/>
  <c r="R490" i="19"/>
  <c r="I491" i="19"/>
  <c r="R491" i="19"/>
  <c r="I492" i="19"/>
  <c r="R492" i="19"/>
  <c r="I493" i="19"/>
  <c r="R493" i="19"/>
  <c r="I494" i="19"/>
  <c r="R494" i="19"/>
  <c r="I495" i="19"/>
  <c r="R495" i="19"/>
  <c r="I496" i="19"/>
  <c r="R496" i="19"/>
  <c r="I497" i="19"/>
  <c r="R497" i="19"/>
  <c r="I498" i="19"/>
  <c r="R498" i="19"/>
  <c r="I499" i="19"/>
  <c r="R499" i="19"/>
  <c r="I500" i="19"/>
  <c r="R500" i="19"/>
  <c r="I501" i="19"/>
  <c r="R501" i="19"/>
  <c r="I502" i="19"/>
  <c r="R502" i="19"/>
  <c r="I503" i="19"/>
  <c r="R503" i="19"/>
  <c r="I504" i="19"/>
  <c r="R504" i="19"/>
  <c r="I505" i="19"/>
  <c r="R505" i="19"/>
  <c r="I506" i="19"/>
  <c r="R506" i="19"/>
  <c r="I507" i="19"/>
  <c r="R507" i="19"/>
  <c r="I508" i="19"/>
  <c r="R508" i="19"/>
  <c r="I509" i="19"/>
  <c r="R509" i="19"/>
  <c r="I510" i="19"/>
  <c r="R510" i="19"/>
  <c r="I511" i="19"/>
  <c r="R511" i="19"/>
  <c r="I512" i="19"/>
  <c r="R512" i="19"/>
  <c r="I513" i="19"/>
  <c r="R513" i="19"/>
  <c r="I514" i="19"/>
  <c r="R514" i="19"/>
  <c r="I515" i="19"/>
  <c r="R515" i="19"/>
  <c r="I516" i="19"/>
  <c r="R516" i="19"/>
  <c r="I517" i="19"/>
  <c r="R517" i="19"/>
  <c r="I518" i="19"/>
  <c r="R518" i="19"/>
  <c r="I519" i="19"/>
  <c r="R519" i="19"/>
  <c r="I520" i="19"/>
  <c r="R520" i="19"/>
  <c r="I521" i="19"/>
  <c r="R521" i="19"/>
  <c r="I522" i="19"/>
  <c r="R522" i="19"/>
  <c r="I523" i="19"/>
  <c r="R523" i="19"/>
  <c r="I524" i="19"/>
  <c r="R524" i="19"/>
  <c r="I525" i="19"/>
  <c r="R525" i="19"/>
  <c r="I526" i="19"/>
  <c r="R526" i="19"/>
  <c r="I527" i="19"/>
  <c r="R527" i="19"/>
  <c r="I528" i="19"/>
  <c r="R528" i="19"/>
  <c r="I529" i="19"/>
  <c r="R529" i="19"/>
  <c r="I530" i="19"/>
  <c r="R530" i="19"/>
  <c r="I531" i="19"/>
  <c r="R531" i="19"/>
  <c r="I532" i="19"/>
  <c r="R532" i="19"/>
  <c r="I533" i="19"/>
  <c r="R533" i="19"/>
  <c r="I534" i="19"/>
  <c r="R534" i="19"/>
  <c r="I535" i="19"/>
  <c r="R535" i="19"/>
  <c r="I536" i="19"/>
  <c r="R536" i="19"/>
  <c r="I537" i="19"/>
  <c r="R537" i="19"/>
  <c r="I538" i="19"/>
  <c r="R538" i="19"/>
  <c r="I539" i="19"/>
  <c r="R539" i="19"/>
  <c r="I540" i="19"/>
  <c r="R540" i="19"/>
  <c r="I541" i="19"/>
  <c r="R541" i="19"/>
  <c r="I542" i="19"/>
  <c r="R542" i="19"/>
  <c r="I543" i="19"/>
  <c r="R543" i="19"/>
  <c r="I544" i="19"/>
  <c r="R544" i="19"/>
  <c r="I545" i="19"/>
  <c r="R545" i="19"/>
  <c r="I546" i="19"/>
  <c r="R546" i="19"/>
  <c r="I547" i="19"/>
  <c r="R547" i="19"/>
  <c r="I548" i="19"/>
  <c r="R548" i="19"/>
  <c r="I549" i="19"/>
  <c r="R549" i="19"/>
  <c r="I550" i="19"/>
  <c r="R550" i="19"/>
  <c r="I551" i="19"/>
  <c r="R551" i="19"/>
  <c r="I552" i="19"/>
  <c r="R552" i="19"/>
  <c r="I553" i="19"/>
  <c r="R553" i="19"/>
  <c r="I554" i="19"/>
  <c r="R554" i="19"/>
  <c r="I555" i="19"/>
  <c r="R555" i="19"/>
  <c r="I556" i="19"/>
  <c r="R556" i="19"/>
  <c r="I557" i="19"/>
  <c r="R557" i="19"/>
  <c r="I558" i="19"/>
  <c r="R558" i="19"/>
  <c r="I559" i="19"/>
  <c r="R559" i="19"/>
  <c r="I560" i="19"/>
  <c r="R560" i="19"/>
  <c r="I561" i="19"/>
  <c r="R561" i="19"/>
  <c r="I562" i="19"/>
  <c r="R562" i="19"/>
  <c r="I563" i="19"/>
  <c r="R563" i="19"/>
  <c r="I564" i="19"/>
  <c r="R564" i="19"/>
  <c r="I565" i="19"/>
  <c r="R565" i="19"/>
  <c r="I566" i="19"/>
  <c r="R566" i="19"/>
  <c r="I567" i="19"/>
  <c r="R567" i="19"/>
  <c r="I568" i="19"/>
  <c r="R568" i="19"/>
  <c r="I569" i="19"/>
  <c r="R569" i="19"/>
  <c r="I570" i="19"/>
  <c r="R570" i="19"/>
  <c r="I571" i="19"/>
  <c r="R571" i="19"/>
  <c r="I572" i="19"/>
  <c r="R572" i="19"/>
  <c r="I573" i="19"/>
  <c r="R573" i="19"/>
  <c r="I574" i="19"/>
  <c r="R574" i="19"/>
  <c r="I575" i="19"/>
  <c r="R575" i="19"/>
  <c r="I576" i="19"/>
  <c r="R576" i="19"/>
  <c r="I577" i="19"/>
  <c r="R577" i="19"/>
  <c r="I578" i="19"/>
  <c r="R578" i="19"/>
  <c r="I579" i="19"/>
  <c r="R579" i="19"/>
  <c r="I580" i="19"/>
  <c r="R580" i="19"/>
  <c r="I581" i="19"/>
  <c r="R581" i="19"/>
  <c r="I582" i="19"/>
  <c r="R582" i="19"/>
  <c r="I583" i="19"/>
  <c r="R583" i="19"/>
  <c r="I584" i="19"/>
  <c r="R584" i="19"/>
  <c r="I585" i="19"/>
  <c r="R585" i="19"/>
  <c r="I586" i="19"/>
  <c r="R586" i="19"/>
  <c r="I587" i="19"/>
  <c r="R587" i="19"/>
  <c r="I588" i="19"/>
  <c r="R588" i="19"/>
  <c r="I589" i="19"/>
  <c r="R589" i="19"/>
  <c r="I590" i="19"/>
  <c r="R590" i="19"/>
  <c r="I591" i="19"/>
  <c r="R591" i="19"/>
  <c r="I592" i="19"/>
  <c r="R592" i="19"/>
  <c r="I593" i="19"/>
  <c r="R593" i="19"/>
  <c r="I594" i="19"/>
  <c r="R594" i="19"/>
  <c r="I595" i="19"/>
  <c r="R595" i="19"/>
  <c r="I596" i="19"/>
  <c r="R596" i="19"/>
  <c r="I597" i="19"/>
  <c r="R597" i="19"/>
  <c r="I598" i="19"/>
  <c r="R598" i="19"/>
  <c r="I599" i="19"/>
  <c r="R599" i="19"/>
  <c r="I600" i="19"/>
  <c r="R600" i="19"/>
  <c r="I601" i="19"/>
  <c r="R601" i="19"/>
  <c r="I602" i="19"/>
  <c r="R602" i="19"/>
  <c r="I603" i="19"/>
  <c r="R603" i="19"/>
  <c r="I604" i="19"/>
  <c r="R604" i="19"/>
  <c r="I605" i="19"/>
  <c r="R605" i="19"/>
  <c r="I606" i="19"/>
  <c r="R606" i="19"/>
  <c r="I607" i="19"/>
  <c r="R607" i="19"/>
  <c r="I608" i="19"/>
  <c r="R608" i="19"/>
  <c r="I609" i="19"/>
  <c r="R609" i="19"/>
  <c r="I610" i="19"/>
  <c r="R610" i="19"/>
  <c r="I611" i="19"/>
  <c r="R611" i="19"/>
  <c r="I612" i="19"/>
  <c r="R612" i="19"/>
  <c r="I613" i="19"/>
  <c r="R613" i="19"/>
  <c r="I614" i="19"/>
  <c r="R614" i="19"/>
  <c r="I615" i="19"/>
  <c r="R615" i="19"/>
  <c r="I616" i="19"/>
  <c r="R616" i="19"/>
  <c r="I617" i="19"/>
  <c r="R617" i="19"/>
  <c r="I618" i="19"/>
  <c r="R618" i="19"/>
  <c r="I619" i="19"/>
  <c r="R619" i="19"/>
  <c r="I620" i="19"/>
  <c r="R620" i="19"/>
  <c r="I621" i="19"/>
  <c r="R621" i="19"/>
  <c r="I622" i="19"/>
  <c r="R622" i="19"/>
  <c r="I623" i="19"/>
  <c r="R623" i="19"/>
  <c r="I624" i="19"/>
  <c r="R624" i="19"/>
  <c r="I625" i="19"/>
  <c r="R625" i="19"/>
  <c r="I626" i="19"/>
  <c r="R626" i="19"/>
  <c r="I627" i="19"/>
  <c r="R627" i="19"/>
  <c r="I628" i="19"/>
  <c r="R628" i="19"/>
  <c r="I629" i="19"/>
  <c r="R629" i="19"/>
  <c r="I630" i="19"/>
  <c r="R630" i="19"/>
  <c r="I631" i="19"/>
  <c r="R631" i="19"/>
  <c r="I632" i="19"/>
  <c r="R632" i="19"/>
  <c r="I633" i="19"/>
  <c r="R633" i="19"/>
  <c r="I634" i="19"/>
  <c r="R634" i="19"/>
  <c r="I635" i="19"/>
  <c r="R635" i="19"/>
  <c r="I636" i="19"/>
  <c r="R636" i="19"/>
  <c r="I637" i="19"/>
  <c r="R637" i="19"/>
  <c r="I638" i="19"/>
  <c r="R638" i="19"/>
  <c r="I639" i="19"/>
  <c r="R639" i="19"/>
  <c r="I640" i="19"/>
  <c r="R640" i="19"/>
  <c r="I641" i="19"/>
  <c r="R641" i="19"/>
  <c r="I642" i="19"/>
  <c r="R642" i="19"/>
  <c r="I643" i="19"/>
  <c r="R643" i="19"/>
  <c r="I644" i="19"/>
  <c r="R644" i="19"/>
  <c r="I645" i="19"/>
  <c r="R645" i="19"/>
  <c r="I646" i="19"/>
  <c r="R646" i="19"/>
  <c r="I647" i="19"/>
  <c r="R647" i="19"/>
  <c r="I648" i="19"/>
  <c r="R648" i="19"/>
  <c r="I649" i="19"/>
  <c r="R649" i="19"/>
  <c r="I650" i="19"/>
  <c r="R650" i="19"/>
  <c r="AM53" i="21" l="1"/>
  <c r="AN53" i="21" s="1"/>
  <c r="BU53" i="21"/>
  <c r="BV53" i="21" s="1"/>
  <c r="E19" i="21"/>
  <c r="G28" i="21" s="1"/>
  <c r="BZ53" i="21"/>
  <c r="AQ53" i="21"/>
  <c r="L53" i="21"/>
  <c r="C17" i="19"/>
  <c r="C18" i="19" s="1"/>
  <c r="J51" i="19"/>
  <c r="K51" i="19" s="1"/>
  <c r="P51" i="19" s="1"/>
  <c r="F36" i="19"/>
  <c r="C30" i="19"/>
  <c r="U51" i="19"/>
  <c r="Y51" i="19"/>
  <c r="BW53" i="21" l="1"/>
  <c r="G26" i="21"/>
  <c r="E28" i="21"/>
  <c r="E26" i="21"/>
  <c r="C36" i="19"/>
  <c r="L51" i="19"/>
  <c r="M51" i="19" s="1"/>
  <c r="N51" i="19" s="1"/>
  <c r="V51" i="19"/>
  <c r="W51" i="19" s="1"/>
  <c r="X51" i="19" l="1"/>
  <c r="S52" i="19" s="1"/>
  <c r="O51" i="19"/>
  <c r="J52" i="19" s="1"/>
  <c r="K52" i="19" l="1"/>
  <c r="L52" i="19" s="1"/>
  <c r="M52" i="19" s="1"/>
  <c r="T52" i="19"/>
  <c r="Y52" i="19" l="1"/>
  <c r="U52" i="19"/>
  <c r="N52" i="19"/>
  <c r="P52" i="19"/>
  <c r="O52" i="19"/>
  <c r="G8" i="1"/>
  <c r="C17" i="21" s="1"/>
  <c r="G7" i="1"/>
  <c r="C16" i="21" s="1"/>
  <c r="G6" i="1"/>
  <c r="C15" i="21" s="1"/>
  <c r="G5" i="1"/>
  <c r="C14" i="21" s="1"/>
  <c r="H4" i="1"/>
  <c r="G4" i="1"/>
  <c r="C13" i="21" s="1"/>
  <c r="D7" i="18"/>
  <c r="D6" i="18"/>
  <c r="F32" i="18"/>
  <c r="F33" i="18"/>
  <c r="F34" i="18"/>
  <c r="F35" i="18"/>
  <c r="F36" i="18"/>
  <c r="F37" i="18"/>
  <c r="F38" i="18"/>
  <c r="F39" i="18"/>
  <c r="F40" i="18"/>
  <c r="F41" i="18"/>
  <c r="F42" i="18"/>
  <c r="F43" i="18"/>
  <c r="F44" i="18"/>
  <c r="F45" i="18"/>
  <c r="F46" i="18"/>
  <c r="F47" i="18"/>
  <c r="F48" i="18"/>
  <c r="F49" i="18"/>
  <c r="F50" i="18"/>
  <c r="F51" i="18"/>
  <c r="F52" i="18"/>
  <c r="F53" i="18"/>
  <c r="F54" i="18"/>
  <c r="E35" i="21" l="1"/>
  <c r="C19" i="21"/>
  <c r="AV53" i="21"/>
  <c r="M53" i="21"/>
  <c r="G35" i="21"/>
  <c r="E36" i="21"/>
  <c r="G36" i="21"/>
  <c r="AG53" i="21"/>
  <c r="BP53" i="21"/>
  <c r="BA53" i="21"/>
  <c r="R53" i="21"/>
  <c r="W53" i="21"/>
  <c r="BF53" i="21"/>
  <c r="AB53" i="21"/>
  <c r="BK53" i="21"/>
  <c r="D21" i="18"/>
  <c r="D25" i="18"/>
  <c r="D23" i="18"/>
  <c r="D22" i="18"/>
  <c r="D24" i="18"/>
  <c r="V52" i="19"/>
  <c r="X52" i="19" s="1"/>
  <c r="J53" i="19"/>
  <c r="D15" i="18"/>
  <c r="E13" i="1"/>
  <c r="E12" i="1"/>
  <c r="BX53" i="21" l="1"/>
  <c r="BY53" i="21" s="1"/>
  <c r="BU54" i="21" s="1"/>
  <c r="BV54" i="21" s="1"/>
  <c r="BW54" i="21" s="1"/>
  <c r="AH53" i="21"/>
  <c r="AI53" i="21" s="1"/>
  <c r="AJ53" i="21"/>
  <c r="BL53" i="21"/>
  <c r="BM53" i="21" s="1"/>
  <c r="BN53" i="21"/>
  <c r="BG53" i="21"/>
  <c r="BH53" i="21" s="1"/>
  <c r="BI53" i="21"/>
  <c r="X53" i="21"/>
  <c r="Y53" i="21" s="1"/>
  <c r="Z53" i="21" s="1"/>
  <c r="AA53" i="21" s="1"/>
  <c r="W54" i="21" s="1"/>
  <c r="AO53" i="21"/>
  <c r="AP53" i="21" s="1"/>
  <c r="AL54" i="21" s="1"/>
  <c r="P53" i="21"/>
  <c r="N53" i="21"/>
  <c r="S53" i="21"/>
  <c r="T53" i="21" s="1"/>
  <c r="U53" i="21"/>
  <c r="BS53" i="21"/>
  <c r="AW53" i="21"/>
  <c r="AX53" i="21" s="1"/>
  <c r="AY53" i="21" s="1"/>
  <c r="AZ53" i="21" s="1"/>
  <c r="BB53" i="21"/>
  <c r="BC53" i="21" s="1"/>
  <c r="BD53" i="21"/>
  <c r="G25" i="21"/>
  <c r="E25" i="21"/>
  <c r="AC53" i="21"/>
  <c r="AD53" i="21" s="1"/>
  <c r="AE53" i="21"/>
  <c r="AF53" i="21" s="1"/>
  <c r="AB54" i="21" s="1"/>
  <c r="BQ53" i="21"/>
  <c r="BR53" i="21" s="1"/>
  <c r="S53" i="19"/>
  <c r="W52" i="19"/>
  <c r="K53" i="19"/>
  <c r="L53" i="19" s="1"/>
  <c r="M53" i="19" s="1"/>
  <c r="E45" i="7"/>
  <c r="F45" i="7"/>
  <c r="G45" i="7"/>
  <c r="H45" i="7"/>
  <c r="I45" i="7"/>
  <c r="J45" i="7"/>
  <c r="K45" i="7"/>
  <c r="L45" i="7"/>
  <c r="M45" i="7"/>
  <c r="N45" i="7"/>
  <c r="O45" i="7"/>
  <c r="D45" i="7"/>
  <c r="E10" i="7"/>
  <c r="F10" i="7"/>
  <c r="G10" i="7"/>
  <c r="H10" i="7"/>
  <c r="I10" i="7"/>
  <c r="J10" i="7"/>
  <c r="K10" i="7"/>
  <c r="L10" i="7"/>
  <c r="M10" i="7"/>
  <c r="N10" i="7"/>
  <c r="O10" i="7"/>
  <c r="E11" i="7"/>
  <c r="F11" i="7"/>
  <c r="G11" i="7"/>
  <c r="H11" i="7"/>
  <c r="I11" i="7"/>
  <c r="J11" i="7"/>
  <c r="K11" i="7"/>
  <c r="L11" i="7"/>
  <c r="M11" i="7"/>
  <c r="N11" i="7"/>
  <c r="O11" i="7"/>
  <c r="E12" i="7"/>
  <c r="F12" i="7"/>
  <c r="G12" i="7"/>
  <c r="H12" i="7"/>
  <c r="I12" i="7"/>
  <c r="J12" i="7"/>
  <c r="K12" i="7"/>
  <c r="L12" i="7"/>
  <c r="M12" i="7"/>
  <c r="N12" i="7"/>
  <c r="O12" i="7"/>
  <c r="D12" i="7"/>
  <c r="D11" i="7"/>
  <c r="D10" i="7"/>
  <c r="E4" i="7"/>
  <c r="F4" i="7"/>
  <c r="G4" i="7"/>
  <c r="H4" i="7"/>
  <c r="I4" i="7"/>
  <c r="J4" i="7"/>
  <c r="K4" i="7"/>
  <c r="L4" i="7"/>
  <c r="M4" i="7"/>
  <c r="N4" i="7"/>
  <c r="O4" i="7"/>
  <c r="D4" i="7"/>
  <c r="E5" i="7"/>
  <c r="F5" i="7"/>
  <c r="G5" i="7"/>
  <c r="H5" i="7"/>
  <c r="I5" i="7"/>
  <c r="J5" i="7"/>
  <c r="K5" i="7"/>
  <c r="L5" i="7"/>
  <c r="M5" i="7"/>
  <c r="N5" i="7"/>
  <c r="O5" i="7"/>
  <c r="D5" i="7"/>
  <c r="E6" i="7"/>
  <c r="F6" i="7"/>
  <c r="G6" i="7"/>
  <c r="H6" i="7"/>
  <c r="I6" i="7"/>
  <c r="J6" i="7"/>
  <c r="K6" i="7"/>
  <c r="L6" i="7"/>
  <c r="M6" i="7"/>
  <c r="N6" i="7"/>
  <c r="O6" i="7"/>
  <c r="D6" i="7"/>
  <c r="E7" i="7"/>
  <c r="F7" i="7"/>
  <c r="G7" i="7"/>
  <c r="H7" i="7"/>
  <c r="I7" i="7"/>
  <c r="J7" i="7"/>
  <c r="K7" i="7"/>
  <c r="L7" i="7"/>
  <c r="M7" i="7"/>
  <c r="N7" i="7"/>
  <c r="O7" i="7"/>
  <c r="D7" i="7"/>
  <c r="E8" i="7"/>
  <c r="F8" i="7"/>
  <c r="G8" i="7"/>
  <c r="H8" i="7"/>
  <c r="I8" i="7"/>
  <c r="J8" i="7"/>
  <c r="K8" i="7"/>
  <c r="L8" i="7"/>
  <c r="M8" i="7"/>
  <c r="N8" i="7"/>
  <c r="O8" i="7"/>
  <c r="D8" i="7"/>
  <c r="G12" i="15"/>
  <c r="G14" i="15" s="1"/>
  <c r="AR53" i="21" l="1"/>
  <c r="V53" i="21"/>
  <c r="R54" i="21" s="1"/>
  <c r="S54" i="21" s="1"/>
  <c r="T54" i="21" s="1"/>
  <c r="BT53" i="21"/>
  <c r="BP54" i="21" s="1"/>
  <c r="BQ54" i="21" s="1"/>
  <c r="BR54" i="21" s="1"/>
  <c r="BE53" i="21"/>
  <c r="BA54" i="21" s="1"/>
  <c r="BB54" i="21" s="1"/>
  <c r="BC54" i="21" s="1"/>
  <c r="BO53" i="21"/>
  <c r="BK54" i="21" s="1"/>
  <c r="BL54" i="21" s="1"/>
  <c r="BM54" i="21" s="1"/>
  <c r="AV54" i="21"/>
  <c r="AC54" i="21"/>
  <c r="AD54" i="21" s="1"/>
  <c r="AM54" i="21"/>
  <c r="AN54" i="21" s="1"/>
  <c r="O53" i="21"/>
  <c r="Q53" i="21" s="1"/>
  <c r="CA53" i="21"/>
  <c r="AK53" i="21"/>
  <c r="AG54" i="21" s="1"/>
  <c r="X54" i="21"/>
  <c r="Y54" i="21" s="1"/>
  <c r="BJ53" i="21"/>
  <c r="BF54" i="21" s="1"/>
  <c r="T53" i="19"/>
  <c r="O53" i="19"/>
  <c r="N53" i="19"/>
  <c r="P53" i="19"/>
  <c r="G18" i="15"/>
  <c r="G20" i="15" s="1"/>
  <c r="G16" i="15"/>
  <c r="C2" i="9"/>
  <c r="C3" i="9"/>
  <c r="BS54" i="21" l="1"/>
  <c r="BT54" i="21" s="1"/>
  <c r="BP55" i="21" s="1"/>
  <c r="BQ55" i="21" s="1"/>
  <c r="BR55" i="21" s="1"/>
  <c r="AT54" i="21"/>
  <c r="AU54" i="21" s="1"/>
  <c r="BX54" i="21"/>
  <c r="BY54" i="21" s="1"/>
  <c r="BU55" i="21" s="1"/>
  <c r="BN54" i="21"/>
  <c r="BO54" i="21" s="1"/>
  <c r="BK55" i="21" s="1"/>
  <c r="BG54" i="21"/>
  <c r="BH54" i="21" s="1"/>
  <c r="BD54" i="21"/>
  <c r="BE54" i="21" s="1"/>
  <c r="BA55" i="21" s="1"/>
  <c r="AH54" i="21"/>
  <c r="AI54" i="21" s="1"/>
  <c r="M54" i="21"/>
  <c r="AO54" i="21" s="1"/>
  <c r="AP54" i="21" s="1"/>
  <c r="AL55" i="21" s="1"/>
  <c r="AM55" i="21" s="1"/>
  <c r="AN55" i="21" s="1"/>
  <c r="K54" i="21"/>
  <c r="AW54" i="21"/>
  <c r="AX54" i="21" s="1"/>
  <c r="Y53" i="19"/>
  <c r="J54" i="19"/>
  <c r="U53" i="19"/>
  <c r="D3" i="9"/>
  <c r="D2" i="9"/>
  <c r="BZ54" i="21" l="1"/>
  <c r="BV55" i="21"/>
  <c r="BW55" i="21" s="1"/>
  <c r="L54" i="21"/>
  <c r="AQ54" i="21"/>
  <c r="AJ54" i="21" s="1"/>
  <c r="AK54" i="21" s="1"/>
  <c r="AG55" i="21" s="1"/>
  <c r="AH55" i="21" s="1"/>
  <c r="AI55" i="21" s="1"/>
  <c r="P54" i="21"/>
  <c r="N54" i="21"/>
  <c r="AR54" i="21" s="1"/>
  <c r="U54" i="21"/>
  <c r="V54" i="21" s="1"/>
  <c r="R55" i="21" s="1"/>
  <c r="AE54" i="21"/>
  <c r="AF54" i="21" s="1"/>
  <c r="AB55" i="21" s="1"/>
  <c r="BL55" i="21"/>
  <c r="BM55" i="21" s="1"/>
  <c r="BB55" i="21"/>
  <c r="BC55" i="21" s="1"/>
  <c r="CA54" i="21"/>
  <c r="K54" i="19"/>
  <c r="L54" i="19" s="1"/>
  <c r="M54" i="19" s="1"/>
  <c r="V53" i="19"/>
  <c r="W53" i="19" s="1"/>
  <c r="AY54" i="21" l="1"/>
  <c r="AZ54" i="21" s="1"/>
  <c r="AV55" i="21" s="1"/>
  <c r="BI54" i="21"/>
  <c r="BJ54" i="21" s="1"/>
  <c r="BF55" i="21" s="1"/>
  <c r="BG55" i="21" s="1"/>
  <c r="BH55" i="21" s="1"/>
  <c r="O54" i="21"/>
  <c r="Q54" i="21" s="1"/>
  <c r="Z54" i="21"/>
  <c r="AA54" i="21" s="1"/>
  <c r="W55" i="21" s="1"/>
  <c r="AC55" i="21"/>
  <c r="AD55" i="21" s="1"/>
  <c r="S55" i="21"/>
  <c r="T55" i="21" s="1"/>
  <c r="X53" i="19"/>
  <c r="N54" i="19"/>
  <c r="P54" i="19"/>
  <c r="O54" i="19"/>
  <c r="BN55" i="21" l="1"/>
  <c r="BO55" i="21" s="1"/>
  <c r="BK56" i="21" s="1"/>
  <c r="BL56" i="21" s="1"/>
  <c r="BM56" i="21" s="1"/>
  <c r="BS55" i="21"/>
  <c r="BT55" i="21" s="1"/>
  <c r="BP56" i="21" s="1"/>
  <c r="BQ56" i="21" s="1"/>
  <c r="BR56" i="21" s="1"/>
  <c r="AW55" i="21"/>
  <c r="AX55" i="21" s="1"/>
  <c r="BX55" i="21"/>
  <c r="BY55" i="21" s="1"/>
  <c r="BU56" i="21" s="1"/>
  <c r="BV56" i="21" s="1"/>
  <c r="BW56" i="21" s="1"/>
  <c r="BD55" i="21"/>
  <c r="BE55" i="21" s="1"/>
  <c r="BA56" i="21" s="1"/>
  <c r="BB56" i="21" s="1"/>
  <c r="BC56" i="21" s="1"/>
  <c r="AT55" i="21"/>
  <c r="AU55" i="21" s="1"/>
  <c r="X55" i="21"/>
  <c r="Y55" i="21" s="1"/>
  <c r="M55" i="21"/>
  <c r="AO55" i="21" s="1"/>
  <c r="AP55" i="21" s="1"/>
  <c r="AL56" i="21" s="1"/>
  <c r="K55" i="21"/>
  <c r="J55" i="19"/>
  <c r="S54" i="19"/>
  <c r="BZ55" i="21" l="1"/>
  <c r="AY55" i="21" s="1"/>
  <c r="AZ55" i="21" s="1"/>
  <c r="AV56" i="21" s="1"/>
  <c r="CA55" i="21"/>
  <c r="AM56" i="21"/>
  <c r="AN56" i="21" s="1"/>
  <c r="L55" i="21"/>
  <c r="AQ55" i="21"/>
  <c r="P55" i="21"/>
  <c r="N55" i="21"/>
  <c r="AE55" i="21"/>
  <c r="AF55" i="21" s="1"/>
  <c r="AB56" i="21" s="1"/>
  <c r="AC56" i="21" s="1"/>
  <c r="AD56" i="21" s="1"/>
  <c r="U55" i="21"/>
  <c r="V55" i="21" s="1"/>
  <c r="R56" i="21" s="1"/>
  <c r="T54" i="19"/>
  <c r="K55" i="19"/>
  <c r="L55" i="19" s="1"/>
  <c r="BI55" i="21" l="1"/>
  <c r="BJ55" i="21" s="1"/>
  <c r="BF56" i="21" s="1"/>
  <c r="BG56" i="21" s="1"/>
  <c r="BH56" i="21" s="1"/>
  <c r="AT56" i="21"/>
  <c r="BZ56" i="21" s="1"/>
  <c r="BI56" i="21" s="1"/>
  <c r="BJ56" i="21" s="1"/>
  <c r="BF57" i="21" s="1"/>
  <c r="BG57" i="21" s="1"/>
  <c r="BH57" i="21" s="1"/>
  <c r="BX56" i="21"/>
  <c r="BY56" i="21" s="1"/>
  <c r="BU57" i="21" s="1"/>
  <c r="BV57" i="21" s="1"/>
  <c r="BW57" i="21" s="1"/>
  <c r="AW56" i="21"/>
  <c r="S56" i="21"/>
  <c r="T56" i="21" s="1"/>
  <c r="O55" i="21"/>
  <c r="Q55" i="21" s="1"/>
  <c r="AR55" i="21"/>
  <c r="AJ55" i="21"/>
  <c r="AK55" i="21" s="1"/>
  <c r="AG56" i="21" s="1"/>
  <c r="Z55" i="21"/>
  <c r="AA55" i="21" s="1"/>
  <c r="W56" i="21" s="1"/>
  <c r="Y54" i="19"/>
  <c r="M55" i="19"/>
  <c r="O55" i="19" s="1"/>
  <c r="P55" i="19"/>
  <c r="U54" i="19"/>
  <c r="BD56" i="21" l="1"/>
  <c r="BE56" i="21" s="1"/>
  <c r="BA57" i="21" s="1"/>
  <c r="BB57" i="21" s="1"/>
  <c r="BC57" i="21" s="1"/>
  <c r="BN56" i="21"/>
  <c r="BO56" i="21" s="1"/>
  <c r="BK57" i="21" s="1"/>
  <c r="BL57" i="21" s="1"/>
  <c r="BM57" i="21" s="1"/>
  <c r="BS56" i="21"/>
  <c r="BT56" i="21" s="1"/>
  <c r="BP57" i="21" s="1"/>
  <c r="BQ57" i="21" s="1"/>
  <c r="BR57" i="21" s="1"/>
  <c r="AU56" i="21"/>
  <c r="X56" i="21"/>
  <c r="Y56" i="21" s="1"/>
  <c r="AH56" i="21"/>
  <c r="AI56" i="21" s="1"/>
  <c r="M56" i="21"/>
  <c r="K56" i="21"/>
  <c r="AX56" i="21"/>
  <c r="AY56" i="21" s="1"/>
  <c r="AZ56" i="21" s="1"/>
  <c r="CA56" i="21"/>
  <c r="J56" i="19"/>
  <c r="N55" i="19"/>
  <c r="V54" i="19"/>
  <c r="W54" i="19" s="1"/>
  <c r="AJ56" i="21" l="1"/>
  <c r="AK56" i="21" s="1"/>
  <c r="AG57" i="21" s="1"/>
  <c r="AH57" i="21" s="1"/>
  <c r="AI57" i="21" s="1"/>
  <c r="AO56" i="21"/>
  <c r="AP56" i="21" s="1"/>
  <c r="AL57" i="21" s="1"/>
  <c r="N56" i="21"/>
  <c r="AR56" i="21" s="1"/>
  <c r="P56" i="21"/>
  <c r="U56" i="21"/>
  <c r="V56" i="21" s="1"/>
  <c r="R57" i="21" s="1"/>
  <c r="L56" i="21"/>
  <c r="AQ56" i="21"/>
  <c r="AE56" i="21" s="1"/>
  <c r="AF56" i="21" s="1"/>
  <c r="AB57" i="21" s="1"/>
  <c r="AC57" i="21" s="1"/>
  <c r="AD57" i="21" s="1"/>
  <c r="AT57" i="21"/>
  <c r="AV57" i="21"/>
  <c r="BX57" i="21" s="1"/>
  <c r="BY57" i="21" s="1"/>
  <c r="BU58" i="21" s="1"/>
  <c r="BV58" i="21" s="1"/>
  <c r="BW58" i="21" s="1"/>
  <c r="X54" i="19"/>
  <c r="K56" i="19"/>
  <c r="O56" i="21" l="1"/>
  <c r="Q56" i="21" s="1"/>
  <c r="M57" i="21" s="1"/>
  <c r="AM57" i="21"/>
  <c r="AN57" i="21" s="1"/>
  <c r="Z56" i="21"/>
  <c r="AA56" i="21" s="1"/>
  <c r="W57" i="21" s="1"/>
  <c r="X57" i="21" s="1"/>
  <c r="Y57" i="21" s="1"/>
  <c r="S57" i="21"/>
  <c r="T57" i="21" s="1"/>
  <c r="AU57" i="21"/>
  <c r="BZ57" i="21"/>
  <c r="BI57" i="21" s="1"/>
  <c r="BJ57" i="21" s="1"/>
  <c r="BF58" i="21" s="1"/>
  <c r="BG58" i="21" s="1"/>
  <c r="BH58" i="21" s="1"/>
  <c r="AW57" i="21"/>
  <c r="CA57" i="21" s="1"/>
  <c r="BN57" i="21"/>
  <c r="BO57" i="21" s="1"/>
  <c r="BK58" i="21" s="1"/>
  <c r="BL58" i="21" s="1"/>
  <c r="BM58" i="21" s="1"/>
  <c r="BD57" i="21"/>
  <c r="BE57" i="21" s="1"/>
  <c r="BA58" i="21" s="1"/>
  <c r="BB58" i="21" s="1"/>
  <c r="BC58" i="21" s="1"/>
  <c r="BS57" i="21"/>
  <c r="BT57" i="21" s="1"/>
  <c r="BP58" i="21" s="1"/>
  <c r="BQ58" i="21" s="1"/>
  <c r="BR58" i="21" s="1"/>
  <c r="P56" i="19"/>
  <c r="L56" i="19"/>
  <c r="S55" i="19"/>
  <c r="AX57" i="21" l="1"/>
  <c r="AY57" i="21" s="1"/>
  <c r="AZ57" i="21" s="1"/>
  <c r="AO57" i="21"/>
  <c r="AP57" i="21" s="1"/>
  <c r="AL58" i="21" s="1"/>
  <c r="AM58" i="21" s="1"/>
  <c r="AN58" i="21" s="1"/>
  <c r="K57" i="21"/>
  <c r="AQ57" i="21" s="1"/>
  <c r="AE57" i="21" s="1"/>
  <c r="AF57" i="21" s="1"/>
  <c r="AB58" i="21" s="1"/>
  <c r="AC58" i="21" s="1"/>
  <c r="AD58" i="21" s="1"/>
  <c r="N57" i="21"/>
  <c r="AR57" i="21" s="1"/>
  <c r="P57" i="21"/>
  <c r="AJ57" i="21"/>
  <c r="AK57" i="21" s="1"/>
  <c r="AG58" i="21" s="1"/>
  <c r="U57" i="21"/>
  <c r="V57" i="21" s="1"/>
  <c r="R58" i="21" s="1"/>
  <c r="M56" i="19"/>
  <c r="O56" i="19" s="1"/>
  <c r="J57" i="19" s="1"/>
  <c r="T55" i="19"/>
  <c r="L57" i="21" l="1"/>
  <c r="O57" i="21"/>
  <c r="Q57" i="21" s="1"/>
  <c r="M58" i="21" s="1"/>
  <c r="AH58" i="21"/>
  <c r="AI58" i="21" s="1"/>
  <c r="Z57" i="21"/>
  <c r="AA57" i="21" s="1"/>
  <c r="W58" i="21" s="1"/>
  <c r="S58" i="21"/>
  <c r="T58" i="21" s="1"/>
  <c r="AV58" i="21"/>
  <c r="BX58" i="21" s="1"/>
  <c r="BY58" i="21" s="1"/>
  <c r="BU59" i="21" s="1"/>
  <c r="BV59" i="21" s="1"/>
  <c r="BW59" i="21" s="1"/>
  <c r="AT58" i="21"/>
  <c r="N56" i="19"/>
  <c r="K57" i="19"/>
  <c r="Y55" i="19"/>
  <c r="U55" i="19"/>
  <c r="U58" i="21" l="1"/>
  <c r="V58" i="21" s="1"/>
  <c r="R59" i="21" s="1"/>
  <c r="S59" i="21" s="1"/>
  <c r="T59" i="21" s="1"/>
  <c r="AO58" i="21"/>
  <c r="AP58" i="21" s="1"/>
  <c r="AL59" i="21" s="1"/>
  <c r="X58" i="21"/>
  <c r="Y58" i="21" s="1"/>
  <c r="N58" i="21"/>
  <c r="P58" i="21"/>
  <c r="AJ58" i="21"/>
  <c r="AK58" i="21" s="1"/>
  <c r="AG59" i="21" s="1"/>
  <c r="AH59" i="21" s="1"/>
  <c r="AI59" i="21" s="1"/>
  <c r="BI58" i="21"/>
  <c r="BJ58" i="21" s="1"/>
  <c r="BF59" i="21" s="1"/>
  <c r="BG59" i="21" s="1"/>
  <c r="BH59" i="21" s="1"/>
  <c r="BD58" i="21"/>
  <c r="BE58" i="21" s="1"/>
  <c r="BA59" i="21" s="1"/>
  <c r="BB59" i="21" s="1"/>
  <c r="BC59" i="21" s="1"/>
  <c r="AW58" i="21"/>
  <c r="CA58" i="21" s="1"/>
  <c r="BS58" i="21"/>
  <c r="BT58" i="21" s="1"/>
  <c r="BP59" i="21" s="1"/>
  <c r="BQ59" i="21" s="1"/>
  <c r="BR59" i="21" s="1"/>
  <c r="BN58" i="21"/>
  <c r="BO58" i="21" s="1"/>
  <c r="BK59" i="21" s="1"/>
  <c r="BL59" i="21" s="1"/>
  <c r="BM59" i="21" s="1"/>
  <c r="K58" i="21"/>
  <c r="BZ58" i="21"/>
  <c r="AU58" i="21"/>
  <c r="V55" i="19"/>
  <c r="W55" i="19" s="1"/>
  <c r="P57" i="19"/>
  <c r="L57" i="19"/>
  <c r="AR58" i="21" l="1"/>
  <c r="O58" i="21"/>
  <c r="Q58" i="21" s="1"/>
  <c r="M59" i="21" s="1"/>
  <c r="AM59" i="21"/>
  <c r="AN59" i="21" s="1"/>
  <c r="AQ58" i="21"/>
  <c r="L58" i="21"/>
  <c r="AX58" i="21"/>
  <c r="AY58" i="21" s="1"/>
  <c r="AZ58" i="21" s="1"/>
  <c r="X55" i="19"/>
  <c r="M57" i="19"/>
  <c r="N57" i="19" s="1"/>
  <c r="AV59" i="21" l="1"/>
  <c r="BX59" i="21" s="1"/>
  <c r="BY59" i="21" s="1"/>
  <c r="BU60" i="21" s="1"/>
  <c r="BV60" i="21" s="1"/>
  <c r="BW60" i="21" s="1"/>
  <c r="AT59" i="21"/>
  <c r="N59" i="21"/>
  <c r="O59" i="21" s="1"/>
  <c r="AE58" i="21"/>
  <c r="AF58" i="21" s="1"/>
  <c r="AB59" i="21" s="1"/>
  <c r="Z58" i="21"/>
  <c r="AA58" i="21" s="1"/>
  <c r="O57" i="19"/>
  <c r="J58" i="19" s="1"/>
  <c r="S56" i="19"/>
  <c r="AC59" i="21" l="1"/>
  <c r="AD59" i="21" s="1"/>
  <c r="AU59" i="21"/>
  <c r="BZ59" i="21"/>
  <c r="BI59" i="21" s="1"/>
  <c r="BJ59" i="21" s="1"/>
  <c r="BF60" i="21" s="1"/>
  <c r="BG60" i="21" s="1"/>
  <c r="BH60" i="21" s="1"/>
  <c r="W59" i="21"/>
  <c r="AO59" i="21" s="1"/>
  <c r="AP59" i="21" s="1"/>
  <c r="AL60" i="21" s="1"/>
  <c r="K59" i="21"/>
  <c r="BN59" i="21"/>
  <c r="BO59" i="21" s="1"/>
  <c r="BK60" i="21" s="1"/>
  <c r="BL60" i="21" s="1"/>
  <c r="BM60" i="21" s="1"/>
  <c r="BD59" i="21"/>
  <c r="BE59" i="21" s="1"/>
  <c r="BA60" i="21" s="1"/>
  <c r="BB60" i="21" s="1"/>
  <c r="BC60" i="21" s="1"/>
  <c r="BS59" i="21"/>
  <c r="BT59" i="21" s="1"/>
  <c r="BP60" i="21" s="1"/>
  <c r="BQ60" i="21" s="1"/>
  <c r="BR60" i="21" s="1"/>
  <c r="AW59" i="21"/>
  <c r="T56" i="19"/>
  <c r="K58" i="19"/>
  <c r="L58" i="19" s="1"/>
  <c r="AM60" i="21" l="1"/>
  <c r="AN60" i="21" s="1"/>
  <c r="X59" i="21"/>
  <c r="P59" i="21"/>
  <c r="Q59" i="21" s="1"/>
  <c r="U59" i="21"/>
  <c r="V59" i="21" s="1"/>
  <c r="R60" i="21" s="1"/>
  <c r="CA59" i="21"/>
  <c r="AX59" i="21"/>
  <c r="AY59" i="21" s="1"/>
  <c r="AZ59" i="21" s="1"/>
  <c r="AE59" i="21"/>
  <c r="AF59" i="21" s="1"/>
  <c r="AB60" i="21" s="1"/>
  <c r="AC60" i="21" s="1"/>
  <c r="AD60" i="21" s="1"/>
  <c r="L59" i="21"/>
  <c r="AQ59" i="21"/>
  <c r="AJ59" i="21" s="1"/>
  <c r="AK59" i="21" s="1"/>
  <c r="AG60" i="21" s="1"/>
  <c r="M58" i="19"/>
  <c r="O58" i="19" s="1"/>
  <c r="J59" i="19" s="1"/>
  <c r="P58" i="19"/>
  <c r="Y56" i="19"/>
  <c r="U56" i="19"/>
  <c r="AT60" i="21" l="1"/>
  <c r="AV60" i="21"/>
  <c r="BX60" i="21" s="1"/>
  <c r="BY60" i="21" s="1"/>
  <c r="BU61" i="21" s="1"/>
  <c r="BV61" i="21" s="1"/>
  <c r="BW61" i="21" s="1"/>
  <c r="M60" i="21"/>
  <c r="S60" i="21"/>
  <c r="T60" i="21" s="1"/>
  <c r="AH60" i="21"/>
  <c r="AI60" i="21" s="1"/>
  <c r="Y59" i="21"/>
  <c r="Z59" i="21" s="1"/>
  <c r="AA59" i="21" s="1"/>
  <c r="W60" i="21" s="1"/>
  <c r="AJ60" i="21" s="1"/>
  <c r="AR59" i="21"/>
  <c r="N58" i="19"/>
  <c r="V56" i="19"/>
  <c r="X56" i="19" s="1"/>
  <c r="S57" i="19" s="1"/>
  <c r="K59" i="19"/>
  <c r="L59" i="19" s="1"/>
  <c r="M59" i="19" s="1"/>
  <c r="K60" i="21" l="1"/>
  <c r="L60" i="21" s="1"/>
  <c r="AO60" i="21"/>
  <c r="AP60" i="21" s="1"/>
  <c r="AL61" i="21" s="1"/>
  <c r="AM61" i="21" s="1"/>
  <c r="AN61" i="21" s="1"/>
  <c r="U60" i="21"/>
  <c r="V60" i="21" s="1"/>
  <c r="R61" i="21" s="1"/>
  <c r="S61" i="21" s="1"/>
  <c r="T61" i="21" s="1"/>
  <c r="AK60" i="21"/>
  <c r="AG61" i="21" s="1"/>
  <c r="AH61" i="21" s="1"/>
  <c r="AI61" i="21" s="1"/>
  <c r="P60" i="21"/>
  <c r="N60" i="21"/>
  <c r="O60" i="21" s="1"/>
  <c r="BN60" i="21"/>
  <c r="BO60" i="21" s="1"/>
  <c r="BK61" i="21" s="1"/>
  <c r="BL61" i="21" s="1"/>
  <c r="BM61" i="21" s="1"/>
  <c r="BS60" i="21"/>
  <c r="BT60" i="21" s="1"/>
  <c r="BP61" i="21" s="1"/>
  <c r="BQ61" i="21" s="1"/>
  <c r="BR61" i="21" s="1"/>
  <c r="AW60" i="21"/>
  <c r="BD60" i="21"/>
  <c r="BE60" i="21" s="1"/>
  <c r="BA61" i="21" s="1"/>
  <c r="BB61" i="21" s="1"/>
  <c r="BC61" i="21" s="1"/>
  <c r="X60" i="21"/>
  <c r="Y60" i="21" s="1"/>
  <c r="AU60" i="21"/>
  <c r="BZ60" i="21"/>
  <c r="BI60" i="21" s="1"/>
  <c r="BJ60" i="21" s="1"/>
  <c r="BF61" i="21" s="1"/>
  <c r="BG61" i="21" s="1"/>
  <c r="BH61" i="21" s="1"/>
  <c r="W56" i="19"/>
  <c r="O59" i="19"/>
  <c r="J60" i="19" s="1"/>
  <c r="T57" i="19"/>
  <c r="N59" i="19"/>
  <c r="P59" i="19"/>
  <c r="AQ60" i="21" l="1"/>
  <c r="AE60" i="21" s="1"/>
  <c r="AF60" i="21" s="1"/>
  <c r="AB61" i="21" s="1"/>
  <c r="AC61" i="21" s="1"/>
  <c r="AD61" i="21" s="1"/>
  <c r="Q60" i="21"/>
  <c r="M61" i="21" s="1"/>
  <c r="AR60" i="21"/>
  <c r="CA60" i="21"/>
  <c r="AX60" i="21"/>
  <c r="AY60" i="21" s="1"/>
  <c r="AZ60" i="21" s="1"/>
  <c r="AT61" i="21" s="1"/>
  <c r="Y57" i="19"/>
  <c r="U57" i="19"/>
  <c r="K60" i="19"/>
  <c r="L60" i="19" s="1"/>
  <c r="Z60" i="21" l="1"/>
  <c r="AA60" i="21" s="1"/>
  <c r="W61" i="21" s="1"/>
  <c r="AO61" i="21" s="1"/>
  <c r="AP61" i="21" s="1"/>
  <c r="AL62" i="21" s="1"/>
  <c r="AV61" i="21"/>
  <c r="BX61" i="21" s="1"/>
  <c r="BY61" i="21" s="1"/>
  <c r="BU62" i="21" s="1"/>
  <c r="N61" i="21"/>
  <c r="AU61" i="21"/>
  <c r="BZ61" i="21"/>
  <c r="M60" i="19"/>
  <c r="N60" i="19" s="1"/>
  <c r="V57" i="19"/>
  <c r="X57" i="19" s="1"/>
  <c r="S58" i="19" s="1"/>
  <c r="P60" i="19"/>
  <c r="AJ61" i="21" l="1"/>
  <c r="AK61" i="21" s="1"/>
  <c r="AG62" i="21" s="1"/>
  <c r="AH62" i="21" s="1"/>
  <c r="AI62" i="21" s="1"/>
  <c r="P61" i="21"/>
  <c r="BD61" i="21"/>
  <c r="BE61" i="21" s="1"/>
  <c r="BA62" i="21" s="1"/>
  <c r="BB62" i="21" s="1"/>
  <c r="BC62" i="21" s="1"/>
  <c r="X61" i="21"/>
  <c r="Y61" i="21" s="1"/>
  <c r="AW61" i="21"/>
  <c r="CA61" i="21" s="1"/>
  <c r="AE61" i="21"/>
  <c r="AF61" i="21" s="1"/>
  <c r="AB62" i="21" s="1"/>
  <c r="AC62" i="21" s="1"/>
  <c r="AD62" i="21" s="1"/>
  <c r="K61" i="21"/>
  <c r="U61" i="21"/>
  <c r="V61" i="21" s="1"/>
  <c r="R62" i="21" s="1"/>
  <c r="S62" i="21" s="1"/>
  <c r="T62" i="21" s="1"/>
  <c r="BS61" i="21"/>
  <c r="BT61" i="21" s="1"/>
  <c r="BP62" i="21" s="1"/>
  <c r="BQ62" i="21" s="1"/>
  <c r="BR62" i="21" s="1"/>
  <c r="BI61" i="21"/>
  <c r="BJ61" i="21" s="1"/>
  <c r="BF62" i="21" s="1"/>
  <c r="BG62" i="21" s="1"/>
  <c r="BH62" i="21" s="1"/>
  <c r="BN61" i="21"/>
  <c r="BO61" i="21" s="1"/>
  <c r="BK62" i="21" s="1"/>
  <c r="BL62" i="21" s="1"/>
  <c r="BM62" i="21" s="1"/>
  <c r="AM62" i="21"/>
  <c r="AN62" i="21" s="1"/>
  <c r="O61" i="21"/>
  <c r="AX61" i="21"/>
  <c r="BV62" i="21"/>
  <c r="BW62" i="21" s="1"/>
  <c r="W57" i="19"/>
  <c r="O60" i="19"/>
  <c r="J61" i="19" s="1"/>
  <c r="K61" i="19" s="1"/>
  <c r="P61" i="19" s="1"/>
  <c r="T58" i="19"/>
  <c r="Q61" i="21" l="1"/>
  <c r="M62" i="21" s="1"/>
  <c r="N62" i="21" s="1"/>
  <c r="AR61" i="21"/>
  <c r="AQ61" i="21"/>
  <c r="Z61" i="21" s="1"/>
  <c r="AA61" i="21" s="1"/>
  <c r="W62" i="21" s="1"/>
  <c r="L61" i="21"/>
  <c r="AY61" i="21"/>
  <c r="AZ61" i="21" s="1"/>
  <c r="L61" i="19"/>
  <c r="M61" i="19" s="1"/>
  <c r="O61" i="19" s="1"/>
  <c r="J62" i="19" s="1"/>
  <c r="Y58" i="19"/>
  <c r="U58" i="19"/>
  <c r="K62" i="21" l="1"/>
  <c r="L62" i="21" s="1"/>
  <c r="P62" i="21"/>
  <c r="AO62" i="21"/>
  <c r="AP62" i="21" s="1"/>
  <c r="AL63" i="21" s="1"/>
  <c r="AM63" i="21" s="1"/>
  <c r="AN63" i="21" s="1"/>
  <c r="X62" i="21"/>
  <c r="Y62" i="21" s="1"/>
  <c r="AJ62" i="21"/>
  <c r="AK62" i="21" s="1"/>
  <c r="AG63" i="21" s="1"/>
  <c r="AH63" i="21" s="1"/>
  <c r="AI63" i="21" s="1"/>
  <c r="O62" i="21"/>
  <c r="AT62" i="21"/>
  <c r="AV62" i="21"/>
  <c r="N61" i="19"/>
  <c r="V58" i="19"/>
  <c r="X58" i="19" s="1"/>
  <c r="S59" i="19" s="1"/>
  <c r="K62" i="19"/>
  <c r="AR62" i="21" l="1"/>
  <c r="Q62" i="21"/>
  <c r="M63" i="21" s="1"/>
  <c r="N63" i="21" s="1"/>
  <c r="AQ62" i="21"/>
  <c r="AW62" i="21"/>
  <c r="CA62" i="21" s="1"/>
  <c r="BN62" i="21"/>
  <c r="BO62" i="21" s="1"/>
  <c r="BK63" i="21" s="1"/>
  <c r="BX62" i="21"/>
  <c r="BY62" i="21" s="1"/>
  <c r="BU63" i="21" s="1"/>
  <c r="BS62" i="21"/>
  <c r="BT62" i="21" s="1"/>
  <c r="BP63" i="21" s="1"/>
  <c r="BD62" i="21"/>
  <c r="BE62" i="21" s="1"/>
  <c r="BA63" i="21" s="1"/>
  <c r="BZ62" i="21"/>
  <c r="BI62" i="21" s="1"/>
  <c r="BJ62" i="21" s="1"/>
  <c r="BF63" i="21" s="1"/>
  <c r="AU62" i="21"/>
  <c r="W58" i="19"/>
  <c r="P62" i="19"/>
  <c r="L62" i="19"/>
  <c r="T59" i="19"/>
  <c r="U59" i="19" s="1"/>
  <c r="AE62" i="21" l="1"/>
  <c r="AF62" i="21" s="1"/>
  <c r="AB63" i="21" s="1"/>
  <c r="AC63" i="21" s="1"/>
  <c r="AD63" i="21" s="1"/>
  <c r="Z62" i="21"/>
  <c r="AA62" i="21" s="1"/>
  <c r="W63" i="21" s="1"/>
  <c r="U62" i="21"/>
  <c r="V62" i="21" s="1"/>
  <c r="R63" i="21" s="1"/>
  <c r="S63" i="21" s="1"/>
  <c r="T63" i="21" s="1"/>
  <c r="O63" i="21"/>
  <c r="BG63" i="21"/>
  <c r="BH63" i="21" s="1"/>
  <c r="BB63" i="21"/>
  <c r="BC63" i="21" s="1"/>
  <c r="BQ63" i="21"/>
  <c r="BR63" i="21" s="1"/>
  <c r="BL63" i="21"/>
  <c r="BM63" i="21" s="1"/>
  <c r="AX62" i="21"/>
  <c r="BV63" i="21"/>
  <c r="BW63" i="21" s="1"/>
  <c r="V59" i="19"/>
  <c r="X59" i="19" s="1"/>
  <c r="S60" i="19" s="1"/>
  <c r="Y59" i="19"/>
  <c r="M62" i="19"/>
  <c r="O62" i="19" s="1"/>
  <c r="J63" i="19" s="1"/>
  <c r="AE63" i="21" l="1"/>
  <c r="AF63" i="21" s="1"/>
  <c r="AB64" i="21" s="1"/>
  <c r="AC64" i="21" s="1"/>
  <c r="AD64" i="21" s="1"/>
  <c r="K63" i="21"/>
  <c r="P63" i="21"/>
  <c r="Q63" i="21" s="1"/>
  <c r="M64" i="21" s="1"/>
  <c r="AO63" i="21"/>
  <c r="AP63" i="21" s="1"/>
  <c r="AL64" i="21" s="1"/>
  <c r="AM64" i="21" s="1"/>
  <c r="AN64" i="21" s="1"/>
  <c r="X63" i="21"/>
  <c r="Y63" i="21" s="1"/>
  <c r="AJ63" i="21"/>
  <c r="AK63" i="21" s="1"/>
  <c r="AG64" i="21" s="1"/>
  <c r="AH64" i="21" s="1"/>
  <c r="AI64" i="21" s="1"/>
  <c r="U63" i="21"/>
  <c r="V63" i="21" s="1"/>
  <c r="R64" i="21" s="1"/>
  <c r="AY62" i="21"/>
  <c r="AZ62" i="21" s="1"/>
  <c r="W59" i="19"/>
  <c r="N62" i="19"/>
  <c r="K63" i="19"/>
  <c r="T60" i="19"/>
  <c r="Y60" i="19" s="1"/>
  <c r="AR63" i="21" l="1"/>
  <c r="AQ63" i="21"/>
  <c r="Z63" i="21" s="1"/>
  <c r="AA63" i="21" s="1"/>
  <c r="W64" i="21" s="1"/>
  <c r="AE64" i="21" s="1"/>
  <c r="AF64" i="21" s="1"/>
  <c r="AB65" i="21" s="1"/>
  <c r="L63" i="21"/>
  <c r="S64" i="21"/>
  <c r="T64" i="21" s="1"/>
  <c r="N64" i="21"/>
  <c r="AV63" i="21"/>
  <c r="AT63" i="21"/>
  <c r="U60" i="19"/>
  <c r="V60" i="19" s="1"/>
  <c r="X60" i="19" s="1"/>
  <c r="S61" i="19" s="1"/>
  <c r="T61" i="19" s="1"/>
  <c r="Y61" i="19" s="1"/>
  <c r="P63" i="19"/>
  <c r="L63" i="19"/>
  <c r="X64" i="21" l="1"/>
  <c r="Y64" i="21" s="1"/>
  <c r="P64" i="21"/>
  <c r="K64" i="21"/>
  <c r="AQ64" i="21" s="1"/>
  <c r="AO64" i="21"/>
  <c r="AP64" i="21" s="1"/>
  <c r="AL65" i="21" s="1"/>
  <c r="AM65" i="21" s="1"/>
  <c r="AN65" i="21" s="1"/>
  <c r="AC65" i="21"/>
  <c r="AD65" i="21" s="1"/>
  <c r="O64" i="21"/>
  <c r="Q64" i="21" s="1"/>
  <c r="BZ63" i="21"/>
  <c r="BI63" i="21" s="1"/>
  <c r="BJ63" i="21" s="1"/>
  <c r="BF64" i="21" s="1"/>
  <c r="AU63" i="21"/>
  <c r="AW63" i="21"/>
  <c r="CA63" i="21" s="1"/>
  <c r="BX63" i="21"/>
  <c r="BY63" i="21" s="1"/>
  <c r="BU64" i="21" s="1"/>
  <c r="BS63" i="21"/>
  <c r="BT63" i="21" s="1"/>
  <c r="BP64" i="21" s="1"/>
  <c r="BD63" i="21"/>
  <c r="BE63" i="21" s="1"/>
  <c r="BA64" i="21" s="1"/>
  <c r="BN63" i="21"/>
  <c r="BO63" i="21" s="1"/>
  <c r="BK64" i="21" s="1"/>
  <c r="W60" i="19"/>
  <c r="M63" i="19"/>
  <c r="N63" i="19" s="1"/>
  <c r="U61" i="19"/>
  <c r="L64" i="21" l="1"/>
  <c r="AR64" i="21"/>
  <c r="AJ64" i="21"/>
  <c r="AK64" i="21" s="1"/>
  <c r="AG65" i="21" s="1"/>
  <c r="AH65" i="21" s="1"/>
  <c r="AI65" i="21" s="1"/>
  <c r="Z64" i="21"/>
  <c r="AA64" i="21" s="1"/>
  <c r="W65" i="21" s="1"/>
  <c r="M65" i="21"/>
  <c r="U64" i="21"/>
  <c r="V64" i="21" s="1"/>
  <c r="R65" i="21" s="1"/>
  <c r="BL64" i="21"/>
  <c r="BM64" i="21" s="1"/>
  <c r="AX63" i="21"/>
  <c r="BB64" i="21"/>
  <c r="BC64" i="21" s="1"/>
  <c r="BQ64" i="21"/>
  <c r="BR64" i="21" s="1"/>
  <c r="BG64" i="21"/>
  <c r="BH64" i="21" s="1"/>
  <c r="BV64" i="21"/>
  <c r="BW64" i="21" s="1"/>
  <c r="O63" i="19"/>
  <c r="J64" i="19" s="1"/>
  <c r="K64" i="19" s="1"/>
  <c r="V61" i="19"/>
  <c r="X61" i="19" s="1"/>
  <c r="S62" i="19" s="1"/>
  <c r="X65" i="21" l="1"/>
  <c r="Y65" i="21" s="1"/>
  <c r="AO65" i="21"/>
  <c r="AP65" i="21" s="1"/>
  <c r="AL66" i="21" s="1"/>
  <c r="N65" i="21"/>
  <c r="O65" i="21" s="1"/>
  <c r="P65" i="21"/>
  <c r="AE65" i="21"/>
  <c r="AF65" i="21" s="1"/>
  <c r="AB66" i="21" s="1"/>
  <c r="S65" i="21"/>
  <c r="T65" i="21" s="1"/>
  <c r="K65" i="21"/>
  <c r="AY63" i="21"/>
  <c r="AZ63" i="21" s="1"/>
  <c r="W61" i="19"/>
  <c r="T62" i="19"/>
  <c r="P64" i="19"/>
  <c r="L64" i="19"/>
  <c r="Q65" i="21" l="1"/>
  <c r="M66" i="21" s="1"/>
  <c r="AM66" i="21"/>
  <c r="AN66" i="21" s="1"/>
  <c r="AC66" i="21"/>
  <c r="AD66" i="21" s="1"/>
  <c r="AQ65" i="21"/>
  <c r="Z65" i="21" s="1"/>
  <c r="AA65" i="21" s="1"/>
  <c r="W66" i="21" s="1"/>
  <c r="L65" i="21"/>
  <c r="AR65" i="21"/>
  <c r="AV64" i="21"/>
  <c r="AT64" i="21"/>
  <c r="M64" i="19"/>
  <c r="O64" i="19" s="1"/>
  <c r="J65" i="19" s="1"/>
  <c r="Y62" i="19"/>
  <c r="U62" i="19"/>
  <c r="X66" i="21" l="1"/>
  <c r="Y66" i="21" s="1"/>
  <c r="N66" i="21"/>
  <c r="O66" i="21" s="1"/>
  <c r="AJ65" i="21"/>
  <c r="AK65" i="21" s="1"/>
  <c r="AG66" i="21" s="1"/>
  <c r="U65" i="21"/>
  <c r="V65" i="21" s="1"/>
  <c r="AW64" i="21"/>
  <c r="CA64" i="21" s="1"/>
  <c r="BN64" i="21"/>
  <c r="BO64" i="21" s="1"/>
  <c r="BK65" i="21" s="1"/>
  <c r="BX64" i="21"/>
  <c r="BY64" i="21" s="1"/>
  <c r="BU65" i="21" s="1"/>
  <c r="BD64" i="21"/>
  <c r="BE64" i="21" s="1"/>
  <c r="BA65" i="21" s="1"/>
  <c r="BS64" i="21"/>
  <c r="BT64" i="21" s="1"/>
  <c r="BP65" i="21" s="1"/>
  <c r="AU64" i="21"/>
  <c r="BZ64" i="21"/>
  <c r="BI64" i="21" s="1"/>
  <c r="BJ64" i="21" s="1"/>
  <c r="BF65" i="21" s="1"/>
  <c r="N64" i="19"/>
  <c r="K65" i="19"/>
  <c r="V62" i="19"/>
  <c r="X62" i="19" s="1"/>
  <c r="S63" i="19" s="1"/>
  <c r="AH66" i="21" l="1"/>
  <c r="AI66" i="21" s="1"/>
  <c r="R66" i="21"/>
  <c r="K66" i="21"/>
  <c r="BG65" i="21"/>
  <c r="BH65" i="21" s="1"/>
  <c r="BV65" i="21"/>
  <c r="BW65" i="21" s="1"/>
  <c r="BQ65" i="21"/>
  <c r="BR65" i="21" s="1"/>
  <c r="BL65" i="21"/>
  <c r="BM65" i="21" s="1"/>
  <c r="BB65" i="21"/>
  <c r="BC65" i="21" s="1"/>
  <c r="AX64" i="21"/>
  <c r="T63" i="19"/>
  <c r="W62" i="19"/>
  <c r="P65" i="19"/>
  <c r="L65" i="19"/>
  <c r="AJ66" i="21" l="1"/>
  <c r="AK66" i="21" s="1"/>
  <c r="AG67" i="21" s="1"/>
  <c r="AH67" i="21" s="1"/>
  <c r="AI67" i="21" s="1"/>
  <c r="AO66" i="21"/>
  <c r="AP66" i="21" s="1"/>
  <c r="AL67" i="21" s="1"/>
  <c r="L66" i="21"/>
  <c r="AQ66" i="21"/>
  <c r="Z66" i="21" s="1"/>
  <c r="AA66" i="21" s="1"/>
  <c r="W67" i="21" s="1"/>
  <c r="S66" i="21"/>
  <c r="P66" i="21"/>
  <c r="Q66" i="21" s="1"/>
  <c r="AE66" i="21"/>
  <c r="AF66" i="21" s="1"/>
  <c r="AB67" i="21" s="1"/>
  <c r="AY64" i="21"/>
  <c r="AZ64" i="21" s="1"/>
  <c r="M65" i="19"/>
  <c r="N65" i="19" s="1"/>
  <c r="Y63" i="19"/>
  <c r="U63" i="19"/>
  <c r="X67" i="21" l="1"/>
  <c r="Y67" i="21" s="1"/>
  <c r="AM67" i="21"/>
  <c r="AN67" i="21" s="1"/>
  <c r="M67" i="21"/>
  <c r="T66" i="21"/>
  <c r="U66" i="21" s="1"/>
  <c r="V66" i="21" s="1"/>
  <c r="R67" i="21" s="1"/>
  <c r="AR66" i="21"/>
  <c r="AC67" i="21"/>
  <c r="AD67" i="21" s="1"/>
  <c r="AT65" i="21"/>
  <c r="AV65" i="21"/>
  <c r="O65" i="19"/>
  <c r="J66" i="19" s="1"/>
  <c r="V63" i="19"/>
  <c r="W63" i="19" s="1"/>
  <c r="AE67" i="21" l="1"/>
  <c r="AF67" i="21" s="1"/>
  <c r="AB68" i="21" s="1"/>
  <c r="AC68" i="21" s="1"/>
  <c r="AD68" i="21" s="1"/>
  <c r="AO67" i="21"/>
  <c r="AP67" i="21" s="1"/>
  <c r="AL68" i="21" s="1"/>
  <c r="AM68" i="21" s="1"/>
  <c r="AN68" i="21" s="1"/>
  <c r="S67" i="21"/>
  <c r="T67" i="21" s="1"/>
  <c r="P67" i="21"/>
  <c r="N67" i="21"/>
  <c r="AR67" i="21" s="1"/>
  <c r="AJ67" i="21"/>
  <c r="AK67" i="21" s="1"/>
  <c r="AG68" i="21" s="1"/>
  <c r="AH68" i="21" s="1"/>
  <c r="AI68" i="21" s="1"/>
  <c r="K67" i="21"/>
  <c r="AW65" i="21"/>
  <c r="CA65" i="21" s="1"/>
  <c r="BX65" i="21"/>
  <c r="BY65" i="21" s="1"/>
  <c r="BU66" i="21" s="1"/>
  <c r="BN65" i="21"/>
  <c r="BO65" i="21" s="1"/>
  <c r="BK66" i="21" s="1"/>
  <c r="BD65" i="21"/>
  <c r="BE65" i="21" s="1"/>
  <c r="BA66" i="21" s="1"/>
  <c r="BS65" i="21"/>
  <c r="BT65" i="21" s="1"/>
  <c r="BP66" i="21" s="1"/>
  <c r="BZ65" i="21"/>
  <c r="BI65" i="21" s="1"/>
  <c r="BJ65" i="21" s="1"/>
  <c r="BF66" i="21" s="1"/>
  <c r="AU65" i="21"/>
  <c r="X63" i="19"/>
  <c r="S64" i="19" s="1"/>
  <c r="T64" i="19" s="1"/>
  <c r="K66" i="19"/>
  <c r="O67" i="21" l="1"/>
  <c r="Q67" i="21" s="1"/>
  <c r="M68" i="21" s="1"/>
  <c r="AQ67" i="21"/>
  <c r="L67" i="21"/>
  <c r="AX65" i="21"/>
  <c r="AY65" i="21" s="1"/>
  <c r="AZ65" i="21" s="1"/>
  <c r="BG66" i="21"/>
  <c r="BH66" i="21" s="1"/>
  <c r="BQ66" i="21"/>
  <c r="BR66" i="21" s="1"/>
  <c r="BB66" i="21"/>
  <c r="BC66" i="21" s="1"/>
  <c r="BL66" i="21"/>
  <c r="BM66" i="21" s="1"/>
  <c r="BV66" i="21"/>
  <c r="BW66" i="21" s="1"/>
  <c r="P66" i="19"/>
  <c r="Y64" i="19"/>
  <c r="L66" i="19"/>
  <c r="U64" i="19"/>
  <c r="U67" i="21" l="1"/>
  <c r="V67" i="21" s="1"/>
  <c r="R68" i="21" s="1"/>
  <c r="S68" i="21" s="1"/>
  <c r="T68" i="21" s="1"/>
  <c r="Z67" i="21"/>
  <c r="AA67" i="21" s="1"/>
  <c r="W68" i="21" s="1"/>
  <c r="AO68" i="21" s="1"/>
  <c r="AP68" i="21" s="1"/>
  <c r="AL69" i="21" s="1"/>
  <c r="N68" i="21"/>
  <c r="AV66" i="21"/>
  <c r="BS66" i="21" s="1"/>
  <c r="BT66" i="21" s="1"/>
  <c r="BP67" i="21" s="1"/>
  <c r="AT66" i="21"/>
  <c r="BZ66" i="21" s="1"/>
  <c r="BI66" i="21" s="1"/>
  <c r="BJ66" i="21" s="1"/>
  <c r="BF67" i="21" s="1"/>
  <c r="V64" i="19"/>
  <c r="X64" i="19" s="1"/>
  <c r="S65" i="19" s="1"/>
  <c r="M66" i="19"/>
  <c r="O66" i="19" s="1"/>
  <c r="J67" i="19" s="1"/>
  <c r="W64" i="19"/>
  <c r="AE68" i="21" l="1"/>
  <c r="AF68" i="21" s="1"/>
  <c r="AB69" i="21" s="1"/>
  <c r="AC69" i="21" s="1"/>
  <c r="AD69" i="21" s="1"/>
  <c r="K68" i="21"/>
  <c r="L68" i="21" s="1"/>
  <c r="X68" i="21"/>
  <c r="Y68" i="21" s="1"/>
  <c r="AM69" i="21"/>
  <c r="AN69" i="21" s="1"/>
  <c r="O68" i="21"/>
  <c r="P68" i="21" s="1"/>
  <c r="Q68" i="21" s="1"/>
  <c r="AU66" i="21"/>
  <c r="AW66" i="21"/>
  <c r="CA66" i="21" s="1"/>
  <c r="BX66" i="21"/>
  <c r="BY66" i="21" s="1"/>
  <c r="BU67" i="21" s="1"/>
  <c r="BD66" i="21"/>
  <c r="BE66" i="21" s="1"/>
  <c r="BA67" i="21" s="1"/>
  <c r="BN66" i="21"/>
  <c r="BO66" i="21" s="1"/>
  <c r="BK67" i="21" s="1"/>
  <c r="BG67" i="21"/>
  <c r="BH67" i="21" s="1"/>
  <c r="BQ67" i="21"/>
  <c r="BR67" i="21" s="1"/>
  <c r="N66" i="19"/>
  <c r="K67" i="19"/>
  <c r="T65" i="19"/>
  <c r="U65" i="19" s="1"/>
  <c r="AQ68" i="21" l="1"/>
  <c r="Z68" i="21"/>
  <c r="AA68" i="21" s="1"/>
  <c r="W69" i="21" s="1"/>
  <c r="X69" i="21" s="1"/>
  <c r="Y69" i="21" s="1"/>
  <c r="AR68" i="21"/>
  <c r="AJ68" i="21"/>
  <c r="AK68" i="21" s="1"/>
  <c r="AG69" i="21" s="1"/>
  <c r="U68" i="21"/>
  <c r="V68" i="21" s="1"/>
  <c r="R69" i="21" s="1"/>
  <c r="M69" i="21"/>
  <c r="AX66" i="21"/>
  <c r="AY66" i="21" s="1"/>
  <c r="BL67" i="21"/>
  <c r="BM67" i="21" s="1"/>
  <c r="BV67" i="21"/>
  <c r="BW67" i="21" s="1"/>
  <c r="BB67" i="21"/>
  <c r="BC67" i="21" s="1"/>
  <c r="V65" i="19"/>
  <c r="X65" i="19" s="1"/>
  <c r="S66" i="19" s="1"/>
  <c r="P67" i="19"/>
  <c r="Y65" i="19"/>
  <c r="L67" i="19"/>
  <c r="AO69" i="21" l="1"/>
  <c r="AP69" i="21" s="1"/>
  <c r="AL70" i="21" s="1"/>
  <c r="N69" i="21"/>
  <c r="O69" i="21" s="1"/>
  <c r="K69" i="21"/>
  <c r="S69" i="21"/>
  <c r="T69" i="21" s="1"/>
  <c r="AH69" i="21"/>
  <c r="AI69" i="21" s="1"/>
  <c r="AJ69" i="21"/>
  <c r="AZ66" i="21"/>
  <c r="AV67" i="21" s="1"/>
  <c r="W65" i="19"/>
  <c r="M67" i="19"/>
  <c r="O67" i="19" s="1"/>
  <c r="J68" i="19" s="1"/>
  <c r="T66" i="19"/>
  <c r="Y66" i="19" s="1"/>
  <c r="AK69" i="21" l="1"/>
  <c r="AG70" i="21" s="1"/>
  <c r="AH70" i="21" s="1"/>
  <c r="AI70" i="21" s="1"/>
  <c r="BD67" i="21"/>
  <c r="BE67" i="21" s="1"/>
  <c r="BA68" i="21" s="1"/>
  <c r="BB68" i="21" s="1"/>
  <c r="BC68" i="21" s="1"/>
  <c r="BX67" i="21"/>
  <c r="BY67" i="21" s="1"/>
  <c r="BU68" i="21" s="1"/>
  <c r="BV68" i="21" s="1"/>
  <c r="BW68" i="21" s="1"/>
  <c r="AW67" i="21"/>
  <c r="AX67" i="21" s="1"/>
  <c r="BS67" i="21"/>
  <c r="BT67" i="21" s="1"/>
  <c r="BP68" i="21" s="1"/>
  <c r="BQ68" i="21" s="1"/>
  <c r="AM70" i="21"/>
  <c r="AN70" i="21" s="1"/>
  <c r="P69" i="21"/>
  <c r="Q69" i="21" s="1"/>
  <c r="AQ69" i="21"/>
  <c r="Z69" i="21" s="1"/>
  <c r="AA69" i="21" s="1"/>
  <c r="W70" i="21" s="1"/>
  <c r="L69" i="21"/>
  <c r="AR69" i="21"/>
  <c r="BN67" i="21"/>
  <c r="BO67" i="21" s="1"/>
  <c r="BK68" i="21" s="1"/>
  <c r="BL68" i="21" s="1"/>
  <c r="BM68" i="21" s="1"/>
  <c r="AT67" i="21"/>
  <c r="AU67" i="21" s="1"/>
  <c r="CA67" i="21"/>
  <c r="U66" i="19"/>
  <c r="V66" i="19" s="1"/>
  <c r="N67" i="19"/>
  <c r="K68" i="19"/>
  <c r="X70" i="21" l="1"/>
  <c r="Y70" i="21" s="1"/>
  <c r="BR68" i="21"/>
  <c r="M70" i="21"/>
  <c r="AE69" i="21"/>
  <c r="AF69" i="21" s="1"/>
  <c r="AB70" i="21" s="1"/>
  <c r="AC70" i="21" s="1"/>
  <c r="AD70" i="21" s="1"/>
  <c r="U69" i="21"/>
  <c r="V69" i="21" s="1"/>
  <c r="R70" i="21" s="1"/>
  <c r="BZ67" i="21"/>
  <c r="AY67" i="21" s="1"/>
  <c r="AZ67" i="21" s="1"/>
  <c r="BI67" i="21"/>
  <c r="BJ67" i="21" s="1"/>
  <c r="BF68" i="21" s="1"/>
  <c r="BG68" i="21" s="1"/>
  <c r="BH68" i="21" s="1"/>
  <c r="X66" i="19"/>
  <c r="S67" i="19" s="1"/>
  <c r="T67" i="19" s="1"/>
  <c r="W66" i="19"/>
  <c r="P68" i="19"/>
  <c r="L68" i="19"/>
  <c r="AO70" i="21" l="1"/>
  <c r="AP70" i="21" s="1"/>
  <c r="AL71" i="21" s="1"/>
  <c r="AM71" i="21" s="1"/>
  <c r="AN71" i="21" s="1"/>
  <c r="S70" i="21"/>
  <c r="T70" i="21" s="1"/>
  <c r="N70" i="21"/>
  <c r="O70" i="21" s="1"/>
  <c r="P70" i="21"/>
  <c r="AJ70" i="21"/>
  <c r="AK70" i="21" s="1"/>
  <c r="AG71" i="21" s="1"/>
  <c r="AH71" i="21" s="1"/>
  <c r="AI71" i="21" s="1"/>
  <c r="K70" i="21"/>
  <c r="AT68" i="21"/>
  <c r="AV68" i="21"/>
  <c r="BX68" i="21" s="1"/>
  <c r="BY68" i="21" s="1"/>
  <c r="BU69" i="21" s="1"/>
  <c r="BV69" i="21" s="1"/>
  <c r="BW69" i="21" s="1"/>
  <c r="M68" i="19"/>
  <c r="O68" i="19" s="1"/>
  <c r="J69" i="19" s="1"/>
  <c r="Y67" i="19"/>
  <c r="U67" i="19"/>
  <c r="AR70" i="21" l="1"/>
  <c r="L70" i="21"/>
  <c r="AQ70" i="21"/>
  <c r="Z70" i="21" s="1"/>
  <c r="AA70" i="21" s="1"/>
  <c r="W71" i="21" s="1"/>
  <c r="Q70" i="21"/>
  <c r="AW68" i="21"/>
  <c r="CA68" i="21" s="1"/>
  <c r="BN68" i="21"/>
  <c r="BO68" i="21" s="1"/>
  <c r="BK69" i="21" s="1"/>
  <c r="BD68" i="21"/>
  <c r="BE68" i="21" s="1"/>
  <c r="BA69" i="21" s="1"/>
  <c r="BS68" i="21"/>
  <c r="BT68" i="21" s="1"/>
  <c r="BP69" i="21" s="1"/>
  <c r="BZ68" i="21"/>
  <c r="BI68" i="21" s="1"/>
  <c r="BJ68" i="21" s="1"/>
  <c r="BF69" i="21" s="1"/>
  <c r="BG69" i="21" s="1"/>
  <c r="BH69" i="21" s="1"/>
  <c r="AU68" i="21"/>
  <c r="N68" i="19"/>
  <c r="V67" i="19"/>
  <c r="X67" i="19" s="1"/>
  <c r="S68" i="19" s="1"/>
  <c r="K69" i="19"/>
  <c r="X71" i="21" l="1"/>
  <c r="Y71" i="21" s="1"/>
  <c r="AE70" i="21"/>
  <c r="AF70" i="21" s="1"/>
  <c r="AB71" i="21" s="1"/>
  <c r="U70" i="21"/>
  <c r="V70" i="21" s="1"/>
  <c r="R71" i="21" s="1"/>
  <c r="M71" i="21"/>
  <c r="AX68" i="21"/>
  <c r="AY68" i="21" s="1"/>
  <c r="AZ68" i="21" s="1"/>
  <c r="AV69" i="21" s="1"/>
  <c r="BX69" i="21" s="1"/>
  <c r="BY69" i="21" s="1"/>
  <c r="BU70" i="21" s="1"/>
  <c r="BV70" i="21" s="1"/>
  <c r="BW70" i="21" s="1"/>
  <c r="BQ69" i="21"/>
  <c r="BR69" i="21" s="1"/>
  <c r="BB69" i="21"/>
  <c r="BC69" i="21" s="1"/>
  <c r="BL69" i="21"/>
  <c r="BM69" i="21" s="1"/>
  <c r="W67" i="19"/>
  <c r="P69" i="19"/>
  <c r="L69" i="19"/>
  <c r="T68" i="19"/>
  <c r="U68" i="19" s="1"/>
  <c r="V68" i="19" s="1"/>
  <c r="K71" i="21" l="1"/>
  <c r="L71" i="21" s="1"/>
  <c r="N71" i="21"/>
  <c r="O71" i="21" s="1"/>
  <c r="P71" i="21" s="1"/>
  <c r="Q71" i="21" s="1"/>
  <c r="AJ71" i="21"/>
  <c r="AK71" i="21" s="1"/>
  <c r="AG72" i="21" s="1"/>
  <c r="AH72" i="21" s="1"/>
  <c r="AI72" i="21" s="1"/>
  <c r="S71" i="21"/>
  <c r="T71" i="21" s="1"/>
  <c r="AC71" i="21"/>
  <c r="AD71" i="21" s="1"/>
  <c r="AE71" i="21"/>
  <c r="AT69" i="21"/>
  <c r="AU69" i="21" s="1"/>
  <c r="BD69" i="21"/>
  <c r="BE69" i="21" s="1"/>
  <c r="BA70" i="21" s="1"/>
  <c r="BN69" i="21"/>
  <c r="BO69" i="21" s="1"/>
  <c r="BK70" i="21" s="1"/>
  <c r="BS69" i="21"/>
  <c r="BT69" i="21" s="1"/>
  <c r="BP70" i="21" s="1"/>
  <c r="AW69" i="21"/>
  <c r="CA69" i="21" s="1"/>
  <c r="W68" i="19"/>
  <c r="Y68" i="19"/>
  <c r="X68" i="19"/>
  <c r="S69" i="19" s="1"/>
  <c r="M69" i="19"/>
  <c r="O69" i="19" s="1"/>
  <c r="J70" i="19" s="1"/>
  <c r="AQ71" i="21" l="1"/>
  <c r="Z71" i="21" s="1"/>
  <c r="AA71" i="21" s="1"/>
  <c r="W72" i="21" s="1"/>
  <c r="AR71" i="21"/>
  <c r="M72" i="21"/>
  <c r="AF71" i="21"/>
  <c r="AB72" i="21" s="1"/>
  <c r="AC72" i="21" s="1"/>
  <c r="AD72" i="21" s="1"/>
  <c r="BZ69" i="21"/>
  <c r="BI69" i="21" s="1"/>
  <c r="BJ69" i="21" s="1"/>
  <c r="BF70" i="21" s="1"/>
  <c r="BG70" i="21" s="1"/>
  <c r="BH70" i="21" s="1"/>
  <c r="AX69" i="21"/>
  <c r="BB70" i="21"/>
  <c r="BC70" i="21" s="1"/>
  <c r="BL70" i="21"/>
  <c r="BM70" i="21" s="1"/>
  <c r="BQ70" i="21"/>
  <c r="BR70" i="21" s="1"/>
  <c r="N69" i="19"/>
  <c r="K70" i="19"/>
  <c r="T69" i="19"/>
  <c r="U69" i="19" s="1"/>
  <c r="V69" i="19" s="1"/>
  <c r="X72" i="21" l="1"/>
  <c r="Y72" i="21" s="1"/>
  <c r="AO71" i="21"/>
  <c r="AP71" i="21" s="1"/>
  <c r="AL72" i="21" s="1"/>
  <c r="U71" i="21"/>
  <c r="V71" i="21" s="1"/>
  <c r="N72" i="21"/>
  <c r="AY69" i="21"/>
  <c r="AZ69" i="21" s="1"/>
  <c r="AV70" i="21" s="1"/>
  <c r="BX70" i="21" s="1"/>
  <c r="BY70" i="21" s="1"/>
  <c r="BU71" i="21" s="1"/>
  <c r="W69" i="19"/>
  <c r="X69" i="19"/>
  <c r="S70" i="19" s="1"/>
  <c r="P70" i="19"/>
  <c r="Y69" i="19"/>
  <c r="L70" i="19"/>
  <c r="AM72" i="21" l="1"/>
  <c r="AN72" i="21" s="1"/>
  <c r="O72" i="21"/>
  <c r="BV71" i="21"/>
  <c r="BW71" i="21" s="1"/>
  <c r="R72" i="21"/>
  <c r="K72" i="21"/>
  <c r="AT70" i="21"/>
  <c r="BZ70" i="21" s="1"/>
  <c r="BI70" i="21" s="1"/>
  <c r="BJ70" i="21" s="1"/>
  <c r="BF71" i="21" s="1"/>
  <c r="BG71" i="21" s="1"/>
  <c r="BH71" i="21" s="1"/>
  <c r="AW70" i="21"/>
  <c r="CA70" i="21" s="1"/>
  <c r="BN70" i="21"/>
  <c r="BO70" i="21" s="1"/>
  <c r="BK71" i="21" s="1"/>
  <c r="BD70" i="21"/>
  <c r="BE70" i="21" s="1"/>
  <c r="BA71" i="21" s="1"/>
  <c r="BS70" i="21"/>
  <c r="BT70" i="21" s="1"/>
  <c r="BP71" i="21" s="1"/>
  <c r="M70" i="19"/>
  <c r="O70" i="19" s="1"/>
  <c r="J71" i="19" s="1"/>
  <c r="T70" i="19"/>
  <c r="U70" i="19" s="1"/>
  <c r="V70" i="19" s="1"/>
  <c r="AU70" i="21" l="1"/>
  <c r="L72" i="21"/>
  <c r="AQ72" i="21"/>
  <c r="Z72" i="21" s="1"/>
  <c r="AA72" i="21" s="1"/>
  <c r="W73" i="21" s="1"/>
  <c r="S72" i="21"/>
  <c r="AJ72" i="21"/>
  <c r="AK72" i="21" s="1"/>
  <c r="AG73" i="21" s="1"/>
  <c r="AH73" i="21" s="1"/>
  <c r="AI73" i="21" s="1"/>
  <c r="AE72" i="21"/>
  <c r="AF72" i="21" s="1"/>
  <c r="AB73" i="21" s="1"/>
  <c r="AC73" i="21" s="1"/>
  <c r="AD73" i="21" s="1"/>
  <c r="P72" i="21"/>
  <c r="Q72" i="21" s="1"/>
  <c r="AO72" i="21"/>
  <c r="AP72" i="21" s="1"/>
  <c r="AL73" i="21" s="1"/>
  <c r="AM73" i="21" s="1"/>
  <c r="AN73" i="21" s="1"/>
  <c r="AX70" i="21"/>
  <c r="AY70" i="21" s="1"/>
  <c r="AZ70" i="21" s="1"/>
  <c r="BQ71" i="21"/>
  <c r="BR71" i="21" s="1"/>
  <c r="BB71" i="21"/>
  <c r="BC71" i="21" s="1"/>
  <c r="BL71" i="21"/>
  <c r="BM71" i="21" s="1"/>
  <c r="Y70" i="19"/>
  <c r="N70" i="19"/>
  <c r="K71" i="19"/>
  <c r="X70" i="19"/>
  <c r="S71" i="19" s="1"/>
  <c r="W70" i="19"/>
  <c r="X73" i="21" l="1"/>
  <c r="Y73" i="21" s="1"/>
  <c r="M73" i="21"/>
  <c r="T72" i="21"/>
  <c r="U72" i="21" s="1"/>
  <c r="V72" i="21" s="1"/>
  <c r="R73" i="21" s="1"/>
  <c r="AJ73" i="21" s="1"/>
  <c r="AK73" i="21" s="1"/>
  <c r="AG74" i="21" s="1"/>
  <c r="AH74" i="21" s="1"/>
  <c r="AI74" i="21" s="1"/>
  <c r="AR72" i="21"/>
  <c r="AV71" i="21"/>
  <c r="BX71" i="21" s="1"/>
  <c r="BY71" i="21" s="1"/>
  <c r="BU72" i="21" s="1"/>
  <c r="BV72" i="21" s="1"/>
  <c r="BW72" i="21" s="1"/>
  <c r="AT71" i="21"/>
  <c r="T71" i="19"/>
  <c r="P71" i="19"/>
  <c r="L71" i="19"/>
  <c r="S73" i="21" l="1"/>
  <c r="T73" i="21" s="1"/>
  <c r="K73" i="21"/>
  <c r="N73" i="21"/>
  <c r="AE73" i="21"/>
  <c r="AF73" i="21" s="1"/>
  <c r="AB74" i="21" s="1"/>
  <c r="AC74" i="21" s="1"/>
  <c r="AD74" i="21" s="1"/>
  <c r="AW71" i="21"/>
  <c r="CA71" i="21" s="1"/>
  <c r="BN71" i="21"/>
  <c r="BO71" i="21" s="1"/>
  <c r="BK72" i="21" s="1"/>
  <c r="BS71" i="21"/>
  <c r="BT71" i="21" s="1"/>
  <c r="BP72" i="21" s="1"/>
  <c r="BZ71" i="21"/>
  <c r="BI71" i="21" s="1"/>
  <c r="BJ71" i="21" s="1"/>
  <c r="BF72" i="21" s="1"/>
  <c r="AU71" i="21"/>
  <c r="M71" i="19"/>
  <c r="O71" i="19" s="1"/>
  <c r="J72" i="19" s="1"/>
  <c r="Y71" i="19"/>
  <c r="U71" i="19"/>
  <c r="AR73" i="21" l="1"/>
  <c r="O73" i="21"/>
  <c r="P73" i="21" s="1"/>
  <c r="Q73" i="21" s="1"/>
  <c r="M74" i="21" s="1"/>
  <c r="N74" i="21" s="1"/>
  <c r="L73" i="21"/>
  <c r="AQ73" i="21"/>
  <c r="Z73" i="21" s="1"/>
  <c r="AA73" i="21" s="1"/>
  <c r="W74" i="21" s="1"/>
  <c r="BD71" i="21"/>
  <c r="BE71" i="21" s="1"/>
  <c r="BA72" i="21" s="1"/>
  <c r="BB72" i="21" s="1"/>
  <c r="BC72" i="21" s="1"/>
  <c r="BQ72" i="21"/>
  <c r="BR72" i="21" s="1"/>
  <c r="BL72" i="21"/>
  <c r="BM72" i="21" s="1"/>
  <c r="AX71" i="21"/>
  <c r="AY71" i="21" s="1"/>
  <c r="AZ71" i="21" s="1"/>
  <c r="BG72" i="21"/>
  <c r="BH72" i="21" s="1"/>
  <c r="N71" i="19"/>
  <c r="V71" i="19"/>
  <c r="X71" i="19" s="1"/>
  <c r="S72" i="19" s="1"/>
  <c r="K72" i="19"/>
  <c r="X74" i="21" l="1"/>
  <c r="Y74" i="21" s="1"/>
  <c r="O74" i="21"/>
  <c r="AO73" i="21"/>
  <c r="AP73" i="21" s="1"/>
  <c r="AL74" i="21" s="1"/>
  <c r="U73" i="21"/>
  <c r="V73" i="21" s="1"/>
  <c r="AV72" i="21"/>
  <c r="AT72" i="21"/>
  <c r="W71" i="19"/>
  <c r="T72" i="19"/>
  <c r="U72" i="19"/>
  <c r="V72" i="19" s="1"/>
  <c r="P72" i="19"/>
  <c r="L72" i="19"/>
  <c r="R74" i="21" l="1"/>
  <c r="K74" i="21"/>
  <c r="AM74" i="21"/>
  <c r="AN74" i="21" s="1"/>
  <c r="BX72" i="21"/>
  <c r="BY72" i="21" s="1"/>
  <c r="BU73" i="21" s="1"/>
  <c r="AW72" i="21"/>
  <c r="CA72" i="21" s="1"/>
  <c r="BN72" i="21"/>
  <c r="BO72" i="21" s="1"/>
  <c r="BK73" i="21" s="1"/>
  <c r="BS72" i="21"/>
  <c r="BT72" i="21" s="1"/>
  <c r="BP73" i="21" s="1"/>
  <c r="BZ72" i="21"/>
  <c r="BD72" i="21" s="1"/>
  <c r="BE72" i="21" s="1"/>
  <c r="BA73" i="21" s="1"/>
  <c r="AU72" i="21"/>
  <c r="M72" i="19"/>
  <c r="O72" i="19" s="1"/>
  <c r="J73" i="19" s="1"/>
  <c r="W72" i="19"/>
  <c r="Y72" i="19"/>
  <c r="X72" i="19"/>
  <c r="S73" i="19" s="1"/>
  <c r="BI72" i="21" l="1"/>
  <c r="BJ72" i="21" s="1"/>
  <c r="BF73" i="21" s="1"/>
  <c r="BG73" i="21" s="1"/>
  <c r="BH73" i="21" s="1"/>
  <c r="S74" i="21"/>
  <c r="P74" i="21"/>
  <c r="Q74" i="21" s="1"/>
  <c r="AE74" i="21"/>
  <c r="AF74" i="21" s="1"/>
  <c r="AB75" i="21" s="1"/>
  <c r="AC75" i="21" s="1"/>
  <c r="AD75" i="21" s="1"/>
  <c r="AJ74" i="21"/>
  <c r="AK74" i="21" s="1"/>
  <c r="AG75" i="21" s="1"/>
  <c r="AH75" i="21" s="1"/>
  <c r="AI75" i="21" s="1"/>
  <c r="BV73" i="21"/>
  <c r="BW73" i="21" s="1"/>
  <c r="AO74" i="21"/>
  <c r="AP74" i="21" s="1"/>
  <c r="AL75" i="21" s="1"/>
  <c r="AM75" i="21" s="1"/>
  <c r="AN75" i="21" s="1"/>
  <c r="L74" i="21"/>
  <c r="AQ74" i="21"/>
  <c r="Z74" i="21" s="1"/>
  <c r="AA74" i="21" s="1"/>
  <c r="W75" i="21" s="1"/>
  <c r="BQ73" i="21"/>
  <c r="BR73" i="21" s="1"/>
  <c r="BB73" i="21"/>
  <c r="BC73" i="21" s="1"/>
  <c r="BL73" i="21"/>
  <c r="BM73" i="21" s="1"/>
  <c r="AX72" i="21"/>
  <c r="N72" i="19"/>
  <c r="T73" i="19"/>
  <c r="Y73" i="19" s="1"/>
  <c r="U73" i="19"/>
  <c r="V73" i="19" s="1"/>
  <c r="K73" i="19"/>
  <c r="L73" i="19" s="1"/>
  <c r="X75" i="21" l="1"/>
  <c r="Y75" i="21" s="1"/>
  <c r="Z75" i="21"/>
  <c r="T74" i="21"/>
  <c r="U74" i="21" s="1"/>
  <c r="V74" i="21" s="1"/>
  <c r="R75" i="21" s="1"/>
  <c r="S75" i="21" s="1"/>
  <c r="T75" i="21" s="1"/>
  <c r="AR74" i="21"/>
  <c r="M75" i="21"/>
  <c r="AY72" i="21"/>
  <c r="AZ72" i="21" s="1"/>
  <c r="M73" i="19"/>
  <c r="O73" i="19" s="1"/>
  <c r="J74" i="19" s="1"/>
  <c r="W73" i="19"/>
  <c r="X73" i="19"/>
  <c r="S74" i="19" s="1"/>
  <c r="P73" i="19"/>
  <c r="AA75" i="21" l="1"/>
  <c r="W76" i="21" s="1"/>
  <c r="X76" i="21" s="1"/>
  <c r="Y76" i="21" s="1"/>
  <c r="K75" i="21"/>
  <c r="P75" i="21"/>
  <c r="N75" i="21"/>
  <c r="AE75" i="21"/>
  <c r="AF75" i="21" s="1"/>
  <c r="AB76" i="21" s="1"/>
  <c r="AC76" i="21" s="1"/>
  <c r="AD76" i="21" s="1"/>
  <c r="AT73" i="21"/>
  <c r="AV73" i="21"/>
  <c r="BX73" i="21" s="1"/>
  <c r="BY73" i="21" s="1"/>
  <c r="BU74" i="21" s="1"/>
  <c r="N73" i="19"/>
  <c r="K74" i="19"/>
  <c r="T74" i="19"/>
  <c r="BV74" i="21" l="1"/>
  <c r="BW74" i="21" s="1"/>
  <c r="AR75" i="21"/>
  <c r="O75" i="21"/>
  <c r="Q75" i="21" s="1"/>
  <c r="L75" i="21"/>
  <c r="AQ75" i="21"/>
  <c r="AJ75" i="21" s="1"/>
  <c r="AK75" i="21" s="1"/>
  <c r="AG76" i="21" s="1"/>
  <c r="AH76" i="21" s="1"/>
  <c r="AI76" i="21" s="1"/>
  <c r="AW73" i="21"/>
  <c r="CA73" i="21" s="1"/>
  <c r="BS73" i="21"/>
  <c r="BT73" i="21" s="1"/>
  <c r="BP74" i="21" s="1"/>
  <c r="BN73" i="21"/>
  <c r="BO73" i="21" s="1"/>
  <c r="BK74" i="21" s="1"/>
  <c r="BZ73" i="21"/>
  <c r="BI73" i="21" s="1"/>
  <c r="BJ73" i="21" s="1"/>
  <c r="BF74" i="21" s="1"/>
  <c r="BG74" i="21" s="1"/>
  <c r="BH74" i="21" s="1"/>
  <c r="AU73" i="21"/>
  <c r="Z76" i="21"/>
  <c r="AA76" i="21" s="1"/>
  <c r="W77" i="21" s="1"/>
  <c r="Y74" i="19"/>
  <c r="P74" i="19"/>
  <c r="L74" i="19"/>
  <c r="U74" i="19"/>
  <c r="AO75" i="21" l="1"/>
  <c r="AP75" i="21" s="1"/>
  <c r="AL76" i="21" s="1"/>
  <c r="AM76" i="21" s="1"/>
  <c r="AN76" i="21" s="1"/>
  <c r="U75" i="21"/>
  <c r="V75" i="21" s="1"/>
  <c r="R76" i="21" s="1"/>
  <c r="S76" i="21" s="1"/>
  <c r="T76" i="21" s="1"/>
  <c r="M76" i="21"/>
  <c r="N76" i="21" s="1"/>
  <c r="AX73" i="21"/>
  <c r="AY73" i="21" s="1"/>
  <c r="AZ73" i="21" s="1"/>
  <c r="AV74" i="21" s="1"/>
  <c r="BL74" i="21"/>
  <c r="BM74" i="21" s="1"/>
  <c r="BD73" i="21"/>
  <c r="BE73" i="21" s="1"/>
  <c r="BA74" i="21" s="1"/>
  <c r="BQ74" i="21"/>
  <c r="BR74" i="21" s="1"/>
  <c r="X77" i="21"/>
  <c r="Y77" i="21" s="1"/>
  <c r="V74" i="19"/>
  <c r="X74" i="19" s="1"/>
  <c r="S75" i="19" s="1"/>
  <c r="M74" i="19"/>
  <c r="O74" i="19" s="1"/>
  <c r="J75" i="19" s="1"/>
  <c r="BX74" i="21" l="1"/>
  <c r="BY74" i="21" s="1"/>
  <c r="BU75" i="21" s="1"/>
  <c r="BV75" i="21" s="1"/>
  <c r="BW75" i="21" s="1"/>
  <c r="AR76" i="21"/>
  <c r="P76" i="21"/>
  <c r="AE76" i="21"/>
  <c r="AF76" i="21" s="1"/>
  <c r="AB77" i="21" s="1"/>
  <c r="AC77" i="21" s="1"/>
  <c r="AD77" i="21" s="1"/>
  <c r="O76" i="21"/>
  <c r="K76" i="21"/>
  <c r="AT74" i="21"/>
  <c r="BZ74" i="21" s="1"/>
  <c r="BI74" i="21" s="1"/>
  <c r="BJ74" i="21" s="1"/>
  <c r="BF75" i="21" s="1"/>
  <c r="AW74" i="21"/>
  <c r="AX74" i="21" s="1"/>
  <c r="BS74" i="21"/>
  <c r="BT74" i="21" s="1"/>
  <c r="BP75" i="21" s="1"/>
  <c r="BB74" i="21"/>
  <c r="BC74" i="21" s="1"/>
  <c r="BN74" i="21"/>
  <c r="BO74" i="21" s="1"/>
  <c r="BK75" i="21" s="1"/>
  <c r="BL75" i="21" s="1"/>
  <c r="BM75" i="21" s="1"/>
  <c r="N74" i="19"/>
  <c r="W74" i="19"/>
  <c r="T75" i="19"/>
  <c r="U75" i="19" s="1"/>
  <c r="V75" i="19" s="1"/>
  <c r="K75" i="19"/>
  <c r="L75" i="19" s="1"/>
  <c r="Q76" i="21" l="1"/>
  <c r="M77" i="21" s="1"/>
  <c r="AY74" i="21"/>
  <c r="AZ74" i="21" s="1"/>
  <c r="AV75" i="21" s="1"/>
  <c r="L76" i="21"/>
  <c r="AQ76" i="21"/>
  <c r="AJ76" i="21" s="1"/>
  <c r="AK76" i="21" s="1"/>
  <c r="AG77" i="21" s="1"/>
  <c r="AH77" i="21" s="1"/>
  <c r="AI77" i="21" s="1"/>
  <c r="AU74" i="21"/>
  <c r="BQ75" i="21"/>
  <c r="BR75" i="21" s="1"/>
  <c r="BG75" i="21"/>
  <c r="BH75" i="21" s="1"/>
  <c r="BD74" i="21"/>
  <c r="BE74" i="21" s="1"/>
  <c r="BA75" i="21" s="1"/>
  <c r="CA74" i="21"/>
  <c r="Z77" i="21"/>
  <c r="AA77" i="21" s="1"/>
  <c r="W78" i="21" s="1"/>
  <c r="N77" i="21"/>
  <c r="M75" i="19"/>
  <c r="O75" i="19" s="1"/>
  <c r="J76" i="19" s="1"/>
  <c r="P75" i="19"/>
  <c r="W75" i="19"/>
  <c r="Y75" i="19"/>
  <c r="X75" i="19"/>
  <c r="S76" i="19" s="1"/>
  <c r="BX75" i="21" l="1"/>
  <c r="BY75" i="21" s="1"/>
  <c r="BU76" i="21" s="1"/>
  <c r="BV76" i="21" s="1"/>
  <c r="BW76" i="21" s="1"/>
  <c r="AO76" i="21"/>
  <c r="AP76" i="21" s="1"/>
  <c r="AL77" i="21" s="1"/>
  <c r="AM77" i="21" s="1"/>
  <c r="AN77" i="21" s="1"/>
  <c r="U76" i="21"/>
  <c r="V76" i="21" s="1"/>
  <c r="O77" i="21"/>
  <c r="BB75" i="21"/>
  <c r="BC75" i="21" s="1"/>
  <c r="AW75" i="21"/>
  <c r="AX75" i="21" s="1"/>
  <c r="BN75" i="21"/>
  <c r="BO75" i="21" s="1"/>
  <c r="BK76" i="21" s="1"/>
  <c r="AT75" i="21"/>
  <c r="BS75" i="21"/>
  <c r="BT75" i="21" s="1"/>
  <c r="BP76" i="21" s="1"/>
  <c r="X78" i="21"/>
  <c r="Y78" i="21" s="1"/>
  <c r="K76" i="19"/>
  <c r="L76" i="19" s="1"/>
  <c r="M76" i="19" s="1"/>
  <c r="T76" i="19"/>
  <c r="Y76" i="19" s="1"/>
  <c r="N75" i="19"/>
  <c r="R77" i="21" l="1"/>
  <c r="P77" i="21" s="1"/>
  <c r="Q77" i="21" s="1"/>
  <c r="M78" i="21" s="1"/>
  <c r="N78" i="21" s="1"/>
  <c r="K77" i="21"/>
  <c r="CA75" i="21"/>
  <c r="BQ76" i="21"/>
  <c r="BR76" i="21" s="1"/>
  <c r="BZ75" i="21"/>
  <c r="AY75" i="21" s="1"/>
  <c r="AZ75" i="21" s="1"/>
  <c r="AU75" i="21"/>
  <c r="BL76" i="21"/>
  <c r="BM76" i="21" s="1"/>
  <c r="U76" i="19"/>
  <c r="V76" i="19" s="1"/>
  <c r="X76" i="19" s="1"/>
  <c r="S77" i="19" s="1"/>
  <c r="T77" i="19" s="1"/>
  <c r="U77" i="19" s="1"/>
  <c r="V77" i="19" s="1"/>
  <c r="N76" i="19"/>
  <c r="P76" i="19"/>
  <c r="O76" i="19"/>
  <c r="J77" i="19" s="1"/>
  <c r="W76" i="19"/>
  <c r="AO77" i="21" l="1"/>
  <c r="AP77" i="21" s="1"/>
  <c r="AL78" i="21" s="1"/>
  <c r="AM78" i="21" s="1"/>
  <c r="AN78" i="21" s="1"/>
  <c r="L77" i="21"/>
  <c r="AQ77" i="21"/>
  <c r="AJ77" i="21" s="1"/>
  <c r="AK77" i="21" s="1"/>
  <c r="AG78" i="21" s="1"/>
  <c r="AH78" i="21" s="1"/>
  <c r="AI78" i="21" s="1"/>
  <c r="S77" i="21"/>
  <c r="AE77" i="21"/>
  <c r="AF77" i="21" s="1"/>
  <c r="AB78" i="21" s="1"/>
  <c r="BI75" i="21"/>
  <c r="BJ75" i="21" s="1"/>
  <c r="BF76" i="21" s="1"/>
  <c r="BG76" i="21" s="1"/>
  <c r="BH76" i="21" s="1"/>
  <c r="BD75" i="21"/>
  <c r="BE75" i="21" s="1"/>
  <c r="BA76" i="21" s="1"/>
  <c r="AV76" i="21"/>
  <c r="O78" i="21"/>
  <c r="Y77" i="19"/>
  <c r="K77" i="19"/>
  <c r="P77" i="19" s="1"/>
  <c r="W77" i="19"/>
  <c r="X77" i="19"/>
  <c r="S78" i="19" s="1"/>
  <c r="Z78" i="21" l="1"/>
  <c r="AA78" i="21" s="1"/>
  <c r="W79" i="21" s="1"/>
  <c r="AC78" i="21"/>
  <c r="AD78" i="21" s="1"/>
  <c r="T77" i="21"/>
  <c r="U77" i="21" s="1"/>
  <c r="V77" i="21" s="1"/>
  <c r="AR77" i="21"/>
  <c r="BX76" i="21"/>
  <c r="BY76" i="21" s="1"/>
  <c r="BU77" i="21" s="1"/>
  <c r="BV77" i="21" s="1"/>
  <c r="BW77" i="21" s="1"/>
  <c r="BB76" i="21"/>
  <c r="BC76" i="21" s="1"/>
  <c r="AW76" i="21"/>
  <c r="AX76" i="21" s="1"/>
  <c r="BS76" i="21"/>
  <c r="BT76" i="21" s="1"/>
  <c r="BP77" i="21" s="1"/>
  <c r="AT76" i="21"/>
  <c r="T78" i="19"/>
  <c r="U78" i="19" s="1"/>
  <c r="V78" i="19" s="1"/>
  <c r="L77" i="19"/>
  <c r="R78" i="21" l="1"/>
  <c r="K78" i="21"/>
  <c r="X79" i="21"/>
  <c r="Y79" i="21"/>
  <c r="CA76" i="21"/>
  <c r="AU76" i="21"/>
  <c r="BZ76" i="21"/>
  <c r="AY76" i="21" s="1"/>
  <c r="AZ76" i="21" s="1"/>
  <c r="AV77" i="21" s="1"/>
  <c r="AW77" i="21" s="1"/>
  <c r="BQ77" i="21"/>
  <c r="BR77" i="21" s="1"/>
  <c r="M77" i="19"/>
  <c r="O77" i="19" s="1"/>
  <c r="J78" i="19" s="1"/>
  <c r="W78" i="19"/>
  <c r="Y78" i="19"/>
  <c r="X78" i="19"/>
  <c r="S79" i="19" s="1"/>
  <c r="AQ78" i="21" l="1"/>
  <c r="AJ78" i="21" s="1"/>
  <c r="AK78" i="21" s="1"/>
  <c r="AG79" i="21" s="1"/>
  <c r="AH79" i="21" s="1"/>
  <c r="AI79" i="21" s="1"/>
  <c r="L78" i="21"/>
  <c r="S78" i="21"/>
  <c r="AO78" i="21"/>
  <c r="AP78" i="21" s="1"/>
  <c r="AL79" i="21" s="1"/>
  <c r="AM79" i="21" s="1"/>
  <c r="AN79" i="21" s="1"/>
  <c r="AE78" i="21"/>
  <c r="AF78" i="21" s="1"/>
  <c r="AB79" i="21" s="1"/>
  <c r="AC79" i="21" s="1"/>
  <c r="AD79" i="21" s="1"/>
  <c r="P78" i="21"/>
  <c r="Q78" i="21" s="1"/>
  <c r="BI76" i="21"/>
  <c r="BJ76" i="21" s="1"/>
  <c r="BF77" i="21" s="1"/>
  <c r="BG77" i="21" s="1"/>
  <c r="BH77" i="21" s="1"/>
  <c r="BN76" i="21"/>
  <c r="BO76" i="21" s="1"/>
  <c r="BK77" i="21" s="1"/>
  <c r="BL77" i="21" s="1"/>
  <c r="BM77" i="21" s="1"/>
  <c r="BD76" i="21"/>
  <c r="BE76" i="21" s="1"/>
  <c r="BA77" i="21" s="1"/>
  <c r="Z79" i="21"/>
  <c r="AA79" i="21" s="1"/>
  <c r="W80" i="21" s="1"/>
  <c r="AX77" i="21"/>
  <c r="N77" i="19"/>
  <c r="K78" i="19"/>
  <c r="L78" i="19" s="1"/>
  <c r="M78" i="19" s="1"/>
  <c r="T79" i="19"/>
  <c r="BX77" i="21" l="1"/>
  <c r="BY77" i="21" s="1"/>
  <c r="BU78" i="21" s="1"/>
  <c r="BV78" i="21" s="1"/>
  <c r="BW78" i="21" s="1"/>
  <c r="T78" i="21"/>
  <c r="U78" i="21" s="1"/>
  <c r="V78" i="21" s="1"/>
  <c r="R79" i="21" s="1"/>
  <c r="S79" i="21" s="1"/>
  <c r="T79" i="21" s="1"/>
  <c r="AR78" i="21"/>
  <c r="M79" i="21"/>
  <c r="N79" i="21" s="1"/>
  <c r="BS77" i="21"/>
  <c r="BT77" i="21" s="1"/>
  <c r="BP78" i="21" s="1"/>
  <c r="BQ78" i="21" s="1"/>
  <c r="BR78" i="21" s="1"/>
  <c r="BI77" i="21"/>
  <c r="BJ77" i="21" s="1"/>
  <c r="BF78" i="21" s="1"/>
  <c r="AT77" i="21"/>
  <c r="AU77" i="21" s="1"/>
  <c r="BB77" i="21"/>
  <c r="BC77" i="21" s="1"/>
  <c r="X80" i="21"/>
  <c r="Y80" i="21" s="1"/>
  <c r="O78" i="19"/>
  <c r="J79" i="19" s="1"/>
  <c r="U79" i="19"/>
  <c r="N78" i="19"/>
  <c r="P78" i="19"/>
  <c r="Y79" i="19"/>
  <c r="O79" i="21" l="1"/>
  <c r="P79" i="21"/>
  <c r="AR79" i="21"/>
  <c r="AE79" i="21"/>
  <c r="AF79" i="21" s="1"/>
  <c r="AB80" i="21" s="1"/>
  <c r="AC80" i="21" s="1"/>
  <c r="AD80" i="21" s="1"/>
  <c r="K79" i="21"/>
  <c r="BG78" i="21"/>
  <c r="BH78" i="21" s="1"/>
  <c r="BZ77" i="21"/>
  <c r="BD77" i="21" s="1"/>
  <c r="BE77" i="21" s="1"/>
  <c r="BA78" i="21" s="1"/>
  <c r="BB78" i="21" s="1"/>
  <c r="BC78" i="21" s="1"/>
  <c r="CA77" i="21"/>
  <c r="BN77" i="21"/>
  <c r="BO77" i="21" s="1"/>
  <c r="BK78" i="21" s="1"/>
  <c r="BL78" i="21" s="1"/>
  <c r="BM78" i="21" s="1"/>
  <c r="V79" i="19"/>
  <c r="W79" i="19" s="1"/>
  <c r="K79" i="19"/>
  <c r="Q79" i="21" l="1"/>
  <c r="M80" i="21" s="1"/>
  <c r="N80" i="21" s="1"/>
  <c r="AQ79" i="21"/>
  <c r="AJ79" i="21" s="1"/>
  <c r="AK79" i="21" s="1"/>
  <c r="AG80" i="21" s="1"/>
  <c r="AH80" i="21" s="1"/>
  <c r="AI80" i="21" s="1"/>
  <c r="L79" i="21"/>
  <c r="AY77" i="21"/>
  <c r="AZ77" i="21" s="1"/>
  <c r="AT78" i="21" s="1"/>
  <c r="Z80" i="21"/>
  <c r="AA80" i="21" s="1"/>
  <c r="W81" i="21" s="1"/>
  <c r="X81" i="21" s="1"/>
  <c r="Y81" i="21" s="1"/>
  <c r="L79" i="19"/>
  <c r="P79" i="19"/>
  <c r="X79" i="19"/>
  <c r="S80" i="19" s="1"/>
  <c r="AV78" i="21" l="1"/>
  <c r="BS78" i="21" s="1"/>
  <c r="BT78" i="21" s="1"/>
  <c r="BP79" i="21" s="1"/>
  <c r="BQ79" i="21" s="1"/>
  <c r="BR79" i="21" s="1"/>
  <c r="BZ78" i="21"/>
  <c r="AU78" i="21"/>
  <c r="AO79" i="21"/>
  <c r="AP79" i="21" s="1"/>
  <c r="AL80" i="21" s="1"/>
  <c r="AM80" i="21" s="1"/>
  <c r="AN80" i="21" s="1"/>
  <c r="U79" i="21"/>
  <c r="V79" i="21" s="1"/>
  <c r="O80" i="21"/>
  <c r="T80" i="19"/>
  <c r="U80" i="19"/>
  <c r="V80" i="19" s="1"/>
  <c r="M79" i="19"/>
  <c r="O79" i="19" s="1"/>
  <c r="J80" i="19" s="1"/>
  <c r="BX78" i="21" l="1"/>
  <c r="BY78" i="21" s="1"/>
  <c r="BU79" i="21" s="1"/>
  <c r="BV79" i="21" s="1"/>
  <c r="BW79" i="21" s="1"/>
  <c r="BN78" i="21"/>
  <c r="BO78" i="21" s="1"/>
  <c r="BK79" i="21" s="1"/>
  <c r="BL79" i="21" s="1"/>
  <c r="BM79" i="21" s="1"/>
  <c r="AW78" i="21"/>
  <c r="AX78" i="21" s="1"/>
  <c r="BD78" i="21"/>
  <c r="BE78" i="21" s="1"/>
  <c r="BA79" i="21" s="1"/>
  <c r="BB79" i="21" s="1"/>
  <c r="BC79" i="21" s="1"/>
  <c r="BI78" i="21"/>
  <c r="BJ78" i="21" s="1"/>
  <c r="BF79" i="21" s="1"/>
  <c r="BG79" i="21" s="1"/>
  <c r="BH79" i="21" s="1"/>
  <c r="R80" i="21"/>
  <c r="K80" i="21"/>
  <c r="Z81" i="21"/>
  <c r="AA81" i="21" s="1"/>
  <c r="W82" i="21" s="1"/>
  <c r="N79" i="19"/>
  <c r="K80" i="19"/>
  <c r="W80" i="19"/>
  <c r="Y80" i="19"/>
  <c r="X80" i="19"/>
  <c r="S81" i="19" s="1"/>
  <c r="CA78" i="21" l="1"/>
  <c r="AQ80" i="21"/>
  <c r="AO80" i="21" s="1"/>
  <c r="AP80" i="21" s="1"/>
  <c r="AL81" i="21" s="1"/>
  <c r="L80" i="21"/>
  <c r="S80" i="21"/>
  <c r="P80" i="21"/>
  <c r="Q80" i="21" s="1"/>
  <c r="AJ80" i="21"/>
  <c r="AK80" i="21" s="1"/>
  <c r="AG81" i="21" s="1"/>
  <c r="AH81" i="21" s="1"/>
  <c r="AI81" i="21" s="1"/>
  <c r="AE80" i="21"/>
  <c r="AF80" i="21" s="1"/>
  <c r="AB81" i="21" s="1"/>
  <c r="AC81" i="21" s="1"/>
  <c r="AD81" i="21" s="1"/>
  <c r="AY78" i="21"/>
  <c r="AZ78" i="21" s="1"/>
  <c r="X82" i="21"/>
  <c r="Y82" i="21" s="1"/>
  <c r="T81" i="19"/>
  <c r="U81" i="19" s="1"/>
  <c r="V81" i="19" s="1"/>
  <c r="P80" i="19"/>
  <c r="L80" i="19"/>
  <c r="M81" i="21" l="1"/>
  <c r="T80" i="21"/>
  <c r="U80" i="21" s="1"/>
  <c r="V80" i="21" s="1"/>
  <c r="R81" i="21" s="1"/>
  <c r="S81" i="21" s="1"/>
  <c r="T81" i="21" s="1"/>
  <c r="AR80" i="21"/>
  <c r="AM81" i="21"/>
  <c r="AN81" i="21" s="1"/>
  <c r="AT79" i="21"/>
  <c r="AV79" i="21"/>
  <c r="BX79" i="21" s="1"/>
  <c r="BY79" i="21" s="1"/>
  <c r="BU80" i="21" s="1"/>
  <c r="BV80" i="21" s="1"/>
  <c r="BW80" i="21" s="1"/>
  <c r="Y81" i="19"/>
  <c r="M80" i="19"/>
  <c r="N80" i="19" s="1"/>
  <c r="W81" i="19"/>
  <c r="X81" i="19"/>
  <c r="S82" i="19" s="1"/>
  <c r="AE81" i="21" l="1"/>
  <c r="AF81" i="21" s="1"/>
  <c r="AB82" i="21" s="1"/>
  <c r="AC82" i="21" s="1"/>
  <c r="AD82" i="21" s="1"/>
  <c r="K81" i="21"/>
  <c r="N81" i="21"/>
  <c r="AR81" i="21" s="1"/>
  <c r="BI79" i="21"/>
  <c r="BJ79" i="21" s="1"/>
  <c r="BF80" i="21" s="1"/>
  <c r="BG80" i="21" s="1"/>
  <c r="BH80" i="21" s="1"/>
  <c r="BN79" i="21"/>
  <c r="BO79" i="21" s="1"/>
  <c r="BK80" i="21" s="1"/>
  <c r="BL80" i="21" s="1"/>
  <c r="BM80" i="21" s="1"/>
  <c r="AW79" i="21"/>
  <c r="CA79" i="21" s="1"/>
  <c r="BS79" i="21"/>
  <c r="BT79" i="21" s="1"/>
  <c r="BP80" i="21" s="1"/>
  <c r="BQ80" i="21" s="1"/>
  <c r="BR80" i="21" s="1"/>
  <c r="BD79" i="21"/>
  <c r="BE79" i="21" s="1"/>
  <c r="BA80" i="21" s="1"/>
  <c r="BB80" i="21" s="1"/>
  <c r="BC80" i="21" s="1"/>
  <c r="AU79" i="21"/>
  <c r="BZ79" i="21"/>
  <c r="Z82" i="21"/>
  <c r="AA82" i="21" s="1"/>
  <c r="W83" i="21" s="1"/>
  <c r="O80" i="19"/>
  <c r="J81" i="19" s="1"/>
  <c r="K81" i="19" s="1"/>
  <c r="T82" i="19"/>
  <c r="U82" i="19" s="1"/>
  <c r="V82" i="19" s="1"/>
  <c r="O81" i="21" l="1"/>
  <c r="AX79" i="21"/>
  <c r="P81" i="21"/>
  <c r="L81" i="21"/>
  <c r="AQ81" i="21"/>
  <c r="AJ81" i="21" s="1"/>
  <c r="AK81" i="21" s="1"/>
  <c r="AG82" i="21" s="1"/>
  <c r="AH82" i="21" s="1"/>
  <c r="AI82" i="21" s="1"/>
  <c r="AY79" i="21"/>
  <c r="AZ79" i="21" s="1"/>
  <c r="X83" i="21"/>
  <c r="Y83" i="21" s="1"/>
  <c r="X82" i="19"/>
  <c r="S83" i="19" s="1"/>
  <c r="P81" i="19"/>
  <c r="W82" i="19"/>
  <c r="Y82" i="19"/>
  <c r="L81" i="19"/>
  <c r="Q81" i="21" l="1"/>
  <c r="M82" i="21" s="1"/>
  <c r="AO81" i="21"/>
  <c r="AP81" i="21" s="1"/>
  <c r="AL82" i="21" s="1"/>
  <c r="AM82" i="21" s="1"/>
  <c r="AN82" i="21" s="1"/>
  <c r="U81" i="21"/>
  <c r="V81" i="21" s="1"/>
  <c r="R82" i="21" s="1"/>
  <c r="AT80" i="21"/>
  <c r="AV80" i="21"/>
  <c r="BX80" i="21" s="1"/>
  <c r="BY80" i="21" s="1"/>
  <c r="BU81" i="21" s="1"/>
  <c r="BV81" i="21" s="1"/>
  <c r="BW81" i="21" s="1"/>
  <c r="M81" i="19"/>
  <c r="O81" i="19" s="1"/>
  <c r="J82" i="19" s="1"/>
  <c r="T83" i="19"/>
  <c r="BN80" i="21" l="1"/>
  <c r="BO80" i="21" s="1"/>
  <c r="BK81" i="21" s="1"/>
  <c r="BL81" i="21" s="1"/>
  <c r="BM81" i="21" s="1"/>
  <c r="S82" i="21"/>
  <c r="T82" i="21" s="1"/>
  <c r="P82" i="21"/>
  <c r="K82" i="21"/>
  <c r="N82" i="21"/>
  <c r="AE82" i="21"/>
  <c r="AF82" i="21" s="1"/>
  <c r="AB83" i="21" s="1"/>
  <c r="AC83" i="21" s="1"/>
  <c r="AD83" i="21" s="1"/>
  <c r="BS80" i="21"/>
  <c r="BT80" i="21" s="1"/>
  <c r="BP81" i="21" s="1"/>
  <c r="BQ81" i="21" s="1"/>
  <c r="BR81" i="21" s="1"/>
  <c r="BD80" i="21"/>
  <c r="BE80" i="21" s="1"/>
  <c r="BA81" i="21" s="1"/>
  <c r="BB81" i="21" s="1"/>
  <c r="BC81" i="21" s="1"/>
  <c r="AW80" i="21"/>
  <c r="CA80" i="21" s="1"/>
  <c r="AU80" i="21"/>
  <c r="BZ80" i="21"/>
  <c r="BI80" i="21" s="1"/>
  <c r="BJ80" i="21" s="1"/>
  <c r="BF81" i="21" s="1"/>
  <c r="BG81" i="21" s="1"/>
  <c r="BH81" i="21" s="1"/>
  <c r="N81" i="19"/>
  <c r="Y83" i="19"/>
  <c r="K82" i="19"/>
  <c r="L82" i="19" s="1"/>
  <c r="M82" i="19" s="1"/>
  <c r="U83" i="19"/>
  <c r="AR82" i="21" l="1"/>
  <c r="O82" i="21"/>
  <c r="AX80" i="21"/>
  <c r="L82" i="21"/>
  <c r="AQ82" i="21"/>
  <c r="AJ82" i="21" s="1"/>
  <c r="AK82" i="21" s="1"/>
  <c r="AG83" i="21" s="1"/>
  <c r="AH83" i="21" s="1"/>
  <c r="AI83" i="21" s="1"/>
  <c r="Q82" i="21"/>
  <c r="AY80" i="21"/>
  <c r="AZ80" i="21" s="1"/>
  <c r="AV81" i="21" s="1"/>
  <c r="BS81" i="21" s="1"/>
  <c r="BT81" i="21" s="1"/>
  <c r="BP82" i="21" s="1"/>
  <c r="Z83" i="21"/>
  <c r="AA83" i="21" s="1"/>
  <c r="W84" i="21" s="1"/>
  <c r="V83" i="19"/>
  <c r="X83" i="19" s="1"/>
  <c r="S84" i="19" s="1"/>
  <c r="N82" i="19"/>
  <c r="P82" i="19"/>
  <c r="O82" i="19"/>
  <c r="J83" i="19" s="1"/>
  <c r="M83" i="21" l="1"/>
  <c r="N83" i="21" s="1"/>
  <c r="AO82" i="21"/>
  <c r="AP82" i="21" s="1"/>
  <c r="AL83" i="21" s="1"/>
  <c r="U82" i="21"/>
  <c r="V82" i="21" s="1"/>
  <c r="R83" i="21" s="1"/>
  <c r="S83" i="21" s="1"/>
  <c r="T83" i="21" s="1"/>
  <c r="AT81" i="21"/>
  <c r="BZ81" i="21" s="1"/>
  <c r="BN81" i="21" s="1"/>
  <c r="BO81" i="21" s="1"/>
  <c r="BK82" i="21" s="1"/>
  <c r="BQ82" i="21"/>
  <c r="BR82" i="21" s="1"/>
  <c r="X84" i="21"/>
  <c r="Y84" i="21" s="1"/>
  <c r="AW81" i="21"/>
  <c r="CA81" i="21" s="1"/>
  <c r="BI81" i="21"/>
  <c r="BJ81" i="21" s="1"/>
  <c r="BF82" i="21" s="1"/>
  <c r="BX81" i="21"/>
  <c r="BY81" i="21" s="1"/>
  <c r="BU82" i="21" s="1"/>
  <c r="BD81" i="21"/>
  <c r="BE81" i="21" s="1"/>
  <c r="BA82" i="21" s="1"/>
  <c r="W83" i="19"/>
  <c r="K83" i="19"/>
  <c r="P83" i="19" s="1"/>
  <c r="T84" i="19"/>
  <c r="U84" i="19" s="1"/>
  <c r="V84" i="19" s="1"/>
  <c r="AE83" i="21" l="1"/>
  <c r="AF83" i="21" s="1"/>
  <c r="AB84" i="21" s="1"/>
  <c r="AC84" i="21" s="1"/>
  <c r="AD84" i="21" s="1"/>
  <c r="AU81" i="21"/>
  <c r="AM83" i="21"/>
  <c r="AN83" i="21" s="1"/>
  <c r="AO83" i="21"/>
  <c r="O83" i="21"/>
  <c r="P83" i="21" s="1"/>
  <c r="Q83" i="21" s="1"/>
  <c r="K83" i="21"/>
  <c r="AX81" i="21"/>
  <c r="AY81" i="21" s="1"/>
  <c r="AZ81" i="21" s="1"/>
  <c r="BV82" i="21"/>
  <c r="BW82" i="21" s="1"/>
  <c r="BG82" i="21"/>
  <c r="BH82" i="21" s="1"/>
  <c r="BL82" i="21"/>
  <c r="BM82" i="21" s="1"/>
  <c r="BB82" i="21"/>
  <c r="BC82" i="21" s="1"/>
  <c r="W84" i="19"/>
  <c r="Y84" i="19"/>
  <c r="X84" i="19"/>
  <c r="S85" i="19" s="1"/>
  <c r="L83" i="19"/>
  <c r="AR83" i="21" l="1"/>
  <c r="AP83" i="21"/>
  <c r="AL84" i="21" s="1"/>
  <c r="AM84" i="21" s="1"/>
  <c r="AN84" i="21" s="1"/>
  <c r="L83" i="21"/>
  <c r="AQ83" i="21"/>
  <c r="M84" i="21"/>
  <c r="AV82" i="21"/>
  <c r="BS82" i="21" s="1"/>
  <c r="BT82" i="21" s="1"/>
  <c r="BP83" i="21" s="1"/>
  <c r="AT82" i="21"/>
  <c r="N84" i="21"/>
  <c r="Z84" i="21"/>
  <c r="AA84" i="21" s="1"/>
  <c r="W85" i="21" s="1"/>
  <c r="M83" i="19"/>
  <c r="O83" i="19" s="1"/>
  <c r="J84" i="19" s="1"/>
  <c r="T85" i="19"/>
  <c r="Y85" i="19" s="1"/>
  <c r="U83" i="21" l="1"/>
  <c r="V83" i="21" s="1"/>
  <c r="R84" i="21" s="1"/>
  <c r="S84" i="21" s="1"/>
  <c r="T84" i="21" s="1"/>
  <c r="AJ83" i="21"/>
  <c r="AK83" i="21" s="1"/>
  <c r="AG84" i="21" s="1"/>
  <c r="AH84" i="21" s="1"/>
  <c r="AI84" i="21" s="1"/>
  <c r="BQ83" i="21"/>
  <c r="BR83" i="21" s="1"/>
  <c r="X85" i="21"/>
  <c r="Y85" i="21" s="1"/>
  <c r="O84" i="21"/>
  <c r="AU82" i="21"/>
  <c r="BZ82" i="21"/>
  <c r="BI82" i="21" s="1"/>
  <c r="BJ82" i="21" s="1"/>
  <c r="BF83" i="21" s="1"/>
  <c r="BG83" i="21" s="1"/>
  <c r="BH83" i="21" s="1"/>
  <c r="AW82" i="21"/>
  <c r="CA82" i="21" s="1"/>
  <c r="BD82" i="21"/>
  <c r="BE82" i="21" s="1"/>
  <c r="BA83" i="21" s="1"/>
  <c r="BX82" i="21"/>
  <c r="BY82" i="21" s="1"/>
  <c r="BU83" i="21" s="1"/>
  <c r="BN82" i="21"/>
  <c r="BO82" i="21" s="1"/>
  <c r="BK83" i="21" s="1"/>
  <c r="U85" i="19"/>
  <c r="V85" i="19" s="1"/>
  <c r="X85" i="19" s="1"/>
  <c r="S86" i="19" s="1"/>
  <c r="N83" i="19"/>
  <c r="K84" i="19"/>
  <c r="L84" i="19" s="1"/>
  <c r="AE84" i="21" l="1"/>
  <c r="AF84" i="21" s="1"/>
  <c r="AB85" i="21" s="1"/>
  <c r="AC85" i="21" s="1"/>
  <c r="AD85" i="21" s="1"/>
  <c r="K84" i="21"/>
  <c r="AR84" i="21"/>
  <c r="AO84" i="21"/>
  <c r="AP84" i="21" s="1"/>
  <c r="AL85" i="21" s="1"/>
  <c r="AM85" i="21" s="1"/>
  <c r="AN85" i="21" s="1"/>
  <c r="L84" i="21"/>
  <c r="AQ84" i="21"/>
  <c r="BL83" i="21"/>
  <c r="BM83" i="21" s="1"/>
  <c r="P84" i="21"/>
  <c r="Q84" i="21" s="1"/>
  <c r="BV83" i="21"/>
  <c r="BW83" i="21" s="1"/>
  <c r="BB83" i="21"/>
  <c r="BC83" i="21" s="1"/>
  <c r="AX82" i="21"/>
  <c r="W85" i="19"/>
  <c r="T86" i="19"/>
  <c r="U86" i="19"/>
  <c r="M84" i="19"/>
  <c r="O84" i="19" s="1"/>
  <c r="J85" i="19" s="1"/>
  <c r="P84" i="19"/>
  <c r="U84" i="21" l="1"/>
  <c r="V84" i="21" s="1"/>
  <c r="R85" i="21" s="1"/>
  <c r="S85" i="21" s="1"/>
  <c r="T85" i="21" s="1"/>
  <c r="AJ84" i="21"/>
  <c r="AK84" i="21" s="1"/>
  <c r="AG85" i="21" s="1"/>
  <c r="AH85" i="21" s="1"/>
  <c r="AI85" i="21" s="1"/>
  <c r="M85" i="21"/>
  <c r="AY82" i="21"/>
  <c r="AZ82" i="21" s="1"/>
  <c r="N84" i="19"/>
  <c r="K85" i="19"/>
  <c r="P85" i="19" s="1"/>
  <c r="Y86" i="19"/>
  <c r="V86" i="19"/>
  <c r="X86" i="19" s="1"/>
  <c r="S87" i="19" s="1"/>
  <c r="K85" i="21" l="1"/>
  <c r="AQ85" i="21" s="1"/>
  <c r="U85" i="21" s="1"/>
  <c r="V85" i="21" s="1"/>
  <c r="R86" i="21" s="1"/>
  <c r="S86" i="21" s="1"/>
  <c r="T86" i="21" s="1"/>
  <c r="AV83" i="21"/>
  <c r="BS83" i="21" s="1"/>
  <c r="BT83" i="21" s="1"/>
  <c r="BP84" i="21" s="1"/>
  <c r="AT83" i="21"/>
  <c r="N85" i="21"/>
  <c r="AR85" i="21" s="1"/>
  <c r="Z85" i="21"/>
  <c r="AA85" i="21" s="1"/>
  <c r="W86" i="21" s="1"/>
  <c r="AO85" i="21"/>
  <c r="AP85" i="21" s="1"/>
  <c r="AL86" i="21" s="1"/>
  <c r="W86" i="19"/>
  <c r="L85" i="19"/>
  <c r="M85" i="19" s="1"/>
  <c r="O85" i="19" s="1"/>
  <c r="J86" i="19" s="1"/>
  <c r="T87" i="19"/>
  <c r="U87" i="19" s="1"/>
  <c r="L85" i="21" l="1"/>
  <c r="AJ85" i="21"/>
  <c r="AK85" i="21" s="1"/>
  <c r="AG86" i="21" s="1"/>
  <c r="BQ84" i="21"/>
  <c r="BR84" i="21" s="1"/>
  <c r="AE85" i="21"/>
  <c r="AF85" i="21" s="1"/>
  <c r="AB86" i="21" s="1"/>
  <c r="AM86" i="21"/>
  <c r="AN86" i="21" s="1"/>
  <c r="X86" i="21"/>
  <c r="Y86" i="21"/>
  <c r="O85" i="21"/>
  <c r="AU83" i="21"/>
  <c r="BZ83" i="21"/>
  <c r="BI83" i="21" s="1"/>
  <c r="BJ83" i="21" s="1"/>
  <c r="BF84" i="21" s="1"/>
  <c r="AW83" i="21"/>
  <c r="CA83" i="21" s="1"/>
  <c r="BD83" i="21"/>
  <c r="BE83" i="21" s="1"/>
  <c r="BA84" i="21" s="1"/>
  <c r="BX83" i="21"/>
  <c r="BY83" i="21" s="1"/>
  <c r="BU84" i="21" s="1"/>
  <c r="Y87" i="19"/>
  <c r="N85" i="19"/>
  <c r="K86" i="19"/>
  <c r="L86" i="19"/>
  <c r="V87" i="19"/>
  <c r="X87" i="19" s="1"/>
  <c r="S88" i="19" s="1"/>
  <c r="AX83" i="21" l="1"/>
  <c r="AY83" i="21" s="1"/>
  <c r="AZ83" i="21" s="1"/>
  <c r="AV84" i="21" s="1"/>
  <c r="AH86" i="21"/>
  <c r="AI86" i="21" s="1"/>
  <c r="BN83" i="21"/>
  <c r="BO83" i="21" s="1"/>
  <c r="BK84" i="21" s="1"/>
  <c r="AC86" i="21"/>
  <c r="AD86" i="21" s="1"/>
  <c r="BV84" i="21"/>
  <c r="BW84" i="21" s="1"/>
  <c r="P85" i="21"/>
  <c r="Q85" i="21" s="1"/>
  <c r="BB84" i="21"/>
  <c r="BC84" i="21" s="1"/>
  <c r="BG84" i="21"/>
  <c r="BH84" i="21" s="1"/>
  <c r="T88" i="19"/>
  <c r="W87" i="19"/>
  <c r="M86" i="19"/>
  <c r="N86" i="19" s="1"/>
  <c r="P86" i="19"/>
  <c r="BX84" i="21" l="1"/>
  <c r="BY84" i="21" s="1"/>
  <c r="BU85" i="21" s="1"/>
  <c r="BV85" i="21" s="1"/>
  <c r="BW85" i="21" s="1"/>
  <c r="BS84" i="21"/>
  <c r="BT84" i="21" s="1"/>
  <c r="BP85" i="21" s="1"/>
  <c r="BQ85" i="21" s="1"/>
  <c r="BR85" i="21" s="1"/>
  <c r="BL84" i="21"/>
  <c r="BM84" i="21" s="1"/>
  <c r="AT84" i="21"/>
  <c r="AU84" i="21" s="1"/>
  <c r="M86" i="21"/>
  <c r="K86" i="21"/>
  <c r="BD84" i="21"/>
  <c r="BE84" i="21" s="1"/>
  <c r="BA85" i="21" s="1"/>
  <c r="AW84" i="21"/>
  <c r="BI84" i="21"/>
  <c r="BJ84" i="21" s="1"/>
  <c r="BF85" i="21" s="1"/>
  <c r="O86" i="19"/>
  <c r="J87" i="19" s="1"/>
  <c r="Y88" i="19"/>
  <c r="U88" i="19"/>
  <c r="CA84" i="21" l="1"/>
  <c r="AX84" i="21"/>
  <c r="BZ84" i="21"/>
  <c r="BN84" i="21"/>
  <c r="BO84" i="21" s="1"/>
  <c r="BK85" i="21" s="1"/>
  <c r="BG85" i="21"/>
  <c r="BH85" i="21" s="1"/>
  <c r="BB85" i="21"/>
  <c r="BC85" i="21" s="1"/>
  <c r="AQ86" i="21"/>
  <c r="U86" i="21" s="1"/>
  <c r="V86" i="21" s="1"/>
  <c r="R87" i="21" s="1"/>
  <c r="L86" i="21"/>
  <c r="Z86" i="21"/>
  <c r="AA86" i="21" s="1"/>
  <c r="W87" i="21" s="1"/>
  <c r="N86" i="21"/>
  <c r="AR86" i="21" s="1"/>
  <c r="AO86" i="21"/>
  <c r="AP86" i="21" s="1"/>
  <c r="AL87" i="21" s="1"/>
  <c r="V88" i="19"/>
  <c r="X88" i="19" s="1"/>
  <c r="S89" i="19" s="1"/>
  <c r="K87" i="19"/>
  <c r="L87" i="19"/>
  <c r="AY84" i="21" l="1"/>
  <c r="AZ84" i="21" s="1"/>
  <c r="AT85" i="21" s="1"/>
  <c r="AJ86" i="21"/>
  <c r="AK86" i="21" s="1"/>
  <c r="AG87" i="21" s="1"/>
  <c r="BL85" i="21"/>
  <c r="BM85" i="21" s="1"/>
  <c r="AE86" i="21"/>
  <c r="AF86" i="21" s="1"/>
  <c r="AB87" i="21" s="1"/>
  <c r="O86" i="21"/>
  <c r="X87" i="21"/>
  <c r="Y87" i="21" s="1"/>
  <c r="S87" i="21"/>
  <c r="T87" i="21" s="1"/>
  <c r="AM87" i="21"/>
  <c r="AN87" i="21" s="1"/>
  <c r="W88" i="19"/>
  <c r="M87" i="19"/>
  <c r="O87" i="19" s="1"/>
  <c r="J88" i="19" s="1"/>
  <c r="T89" i="19"/>
  <c r="P87" i="19"/>
  <c r="AV85" i="21" l="1"/>
  <c r="BS85" i="21" s="1"/>
  <c r="BT85" i="21" s="1"/>
  <c r="BP86" i="21" s="1"/>
  <c r="BQ86" i="21" s="1"/>
  <c r="BR86" i="21" s="1"/>
  <c r="AH87" i="21"/>
  <c r="AI87" i="21" s="1"/>
  <c r="AC87" i="21"/>
  <c r="AD87" i="21" s="1"/>
  <c r="P86" i="21"/>
  <c r="Q86" i="21" s="1"/>
  <c r="AU85" i="21"/>
  <c r="BZ85" i="21"/>
  <c r="N87" i="19"/>
  <c r="K88" i="19"/>
  <c r="P88" i="19" s="1"/>
  <c r="Y89" i="19"/>
  <c r="U89" i="19"/>
  <c r="BX85" i="21" l="1"/>
  <c r="BY85" i="21" s="1"/>
  <c r="BU86" i="21" s="1"/>
  <c r="BV86" i="21" s="1"/>
  <c r="BW86" i="21" s="1"/>
  <c r="BD85" i="21"/>
  <c r="BE85" i="21" s="1"/>
  <c r="BA86" i="21" s="1"/>
  <c r="BB86" i="21" s="1"/>
  <c r="BC86" i="21" s="1"/>
  <c r="AW85" i="21"/>
  <c r="CA85" i="21" s="1"/>
  <c r="BI85" i="21"/>
  <c r="BJ85" i="21" s="1"/>
  <c r="BF86" i="21" s="1"/>
  <c r="BG86" i="21" s="1"/>
  <c r="BH86" i="21" s="1"/>
  <c r="BN85" i="21"/>
  <c r="BO85" i="21" s="1"/>
  <c r="BK86" i="21" s="1"/>
  <c r="BL86" i="21" s="1"/>
  <c r="BM86" i="21" s="1"/>
  <c r="K87" i="21"/>
  <c r="M87" i="21"/>
  <c r="L88" i="19"/>
  <c r="M88" i="19" s="1"/>
  <c r="O88" i="19" s="1"/>
  <c r="J89" i="19" s="1"/>
  <c r="V89" i="19"/>
  <c r="W89" i="19" s="1"/>
  <c r="AX85" i="21" l="1"/>
  <c r="AY85" i="21" s="1"/>
  <c r="AZ85" i="21" s="1"/>
  <c r="AV86" i="21" s="1"/>
  <c r="N87" i="21"/>
  <c r="AR87" i="21" s="1"/>
  <c r="Z87" i="21"/>
  <c r="AA87" i="21" s="1"/>
  <c r="W88" i="21" s="1"/>
  <c r="AO87" i="21"/>
  <c r="AP87" i="21" s="1"/>
  <c r="AL88" i="21" s="1"/>
  <c r="L87" i="21"/>
  <c r="AQ87" i="21"/>
  <c r="AE87" i="21" s="1"/>
  <c r="AF87" i="21" s="1"/>
  <c r="AB88" i="21" s="1"/>
  <c r="N88" i="19"/>
  <c r="K89" i="19"/>
  <c r="X89" i="19"/>
  <c r="S90" i="19" s="1"/>
  <c r="AT86" i="21" l="1"/>
  <c r="AU86" i="21" s="1"/>
  <c r="U87" i="21"/>
  <c r="V87" i="21" s="1"/>
  <c r="R88" i="21" s="1"/>
  <c r="S88" i="21" s="1"/>
  <c r="T88" i="21" s="1"/>
  <c r="AJ87" i="21"/>
  <c r="AK87" i="21" s="1"/>
  <c r="AG88" i="21" s="1"/>
  <c r="O87" i="21"/>
  <c r="P87" i="21" s="1"/>
  <c r="Q87" i="21" s="1"/>
  <c r="M88" i="21" s="1"/>
  <c r="Z88" i="21" s="1"/>
  <c r="BS86" i="21"/>
  <c r="BT86" i="21" s="1"/>
  <c r="BP87" i="21" s="1"/>
  <c r="AC88" i="21"/>
  <c r="AD88" i="21" s="1"/>
  <c r="X88" i="21"/>
  <c r="Y88" i="21" s="1"/>
  <c r="AM88" i="21"/>
  <c r="AN88" i="21" s="1"/>
  <c r="AW86" i="21"/>
  <c r="CA86" i="21" s="1"/>
  <c r="BX86" i="21"/>
  <c r="BY86" i="21" s="1"/>
  <c r="BU87" i="21" s="1"/>
  <c r="BD86" i="21"/>
  <c r="BE86" i="21" s="1"/>
  <c r="BA87" i="21" s="1"/>
  <c r="T90" i="19"/>
  <c r="P89" i="19"/>
  <c r="L89" i="19"/>
  <c r="BZ86" i="21" l="1"/>
  <c r="BI86" i="21" s="1"/>
  <c r="BJ86" i="21" s="1"/>
  <c r="BF87" i="21" s="1"/>
  <c r="BG87" i="21" s="1"/>
  <c r="BH87" i="21" s="1"/>
  <c r="AO88" i="21"/>
  <c r="AP88" i="21" s="1"/>
  <c r="AL89" i="21" s="1"/>
  <c r="AM89" i="21" s="1"/>
  <c r="AN89" i="21" s="1"/>
  <c r="K88" i="21"/>
  <c r="AQ88" i="21" s="1"/>
  <c r="U88" i="21" s="1"/>
  <c r="V88" i="21" s="1"/>
  <c r="R89" i="21" s="1"/>
  <c r="S89" i="21" s="1"/>
  <c r="T89" i="21" s="1"/>
  <c r="AX86" i="21"/>
  <c r="AH88" i="21"/>
  <c r="AI88" i="21" s="1"/>
  <c r="AJ88" i="21" s="1"/>
  <c r="AA88" i="21"/>
  <c r="W89" i="21" s="1"/>
  <c r="X89" i="21" s="1"/>
  <c r="Y89" i="21" s="1"/>
  <c r="BN86" i="21"/>
  <c r="BO86" i="21" s="1"/>
  <c r="BK87" i="21" s="1"/>
  <c r="BQ87" i="21"/>
  <c r="BR87" i="21" s="1"/>
  <c r="BB87" i="21"/>
  <c r="BC87" i="21" s="1"/>
  <c r="BV87" i="21"/>
  <c r="BW87" i="21" s="1"/>
  <c r="N88" i="21"/>
  <c r="M89" i="19"/>
  <c r="O89" i="19" s="1"/>
  <c r="J90" i="19" s="1"/>
  <c r="Y90" i="19"/>
  <c r="U90" i="19"/>
  <c r="AY86" i="21" l="1"/>
  <c r="AZ86" i="21" s="1"/>
  <c r="AV87" i="21" s="1"/>
  <c r="BX87" i="21" s="1"/>
  <c r="BY87" i="21" s="1"/>
  <c r="BU88" i="21" s="1"/>
  <c r="BV88" i="21" s="1"/>
  <c r="AK88" i="21"/>
  <c r="AG89" i="21" s="1"/>
  <c r="AH89" i="21" s="1"/>
  <c r="AI89" i="21" s="1"/>
  <c r="L88" i="21"/>
  <c r="AR88" i="21"/>
  <c r="BL87" i="21"/>
  <c r="BM87" i="21" s="1"/>
  <c r="AE88" i="21"/>
  <c r="AF88" i="21" s="1"/>
  <c r="AB89" i="21" s="1"/>
  <c r="O88" i="21"/>
  <c r="N89" i="19"/>
  <c r="K90" i="19"/>
  <c r="L90" i="19"/>
  <c r="M90" i="19" s="1"/>
  <c r="V90" i="19"/>
  <c r="X90" i="19" s="1"/>
  <c r="S91" i="19" s="1"/>
  <c r="BN87" i="21" l="1"/>
  <c r="BO87" i="21" s="1"/>
  <c r="BK88" i="21" s="1"/>
  <c r="BS87" i="21"/>
  <c r="BT87" i="21" s="1"/>
  <c r="BP88" i="21" s="1"/>
  <c r="BQ88" i="21" s="1"/>
  <c r="BR88" i="21" s="1"/>
  <c r="AT87" i="21"/>
  <c r="BZ87" i="21" s="1"/>
  <c r="BI87" i="21" s="1"/>
  <c r="BJ87" i="21" s="1"/>
  <c r="BF88" i="21" s="1"/>
  <c r="BG88" i="21" s="1"/>
  <c r="BH88" i="21" s="1"/>
  <c r="BD87" i="21"/>
  <c r="BE87" i="21" s="1"/>
  <c r="BA88" i="21" s="1"/>
  <c r="BB88" i="21" s="1"/>
  <c r="BC88" i="21" s="1"/>
  <c r="AW87" i="21"/>
  <c r="AX87" i="21" s="1"/>
  <c r="AY87" i="21" s="1"/>
  <c r="AZ87" i="21" s="1"/>
  <c r="AV88" i="21" s="1"/>
  <c r="BW88" i="21"/>
  <c r="AU87" i="21"/>
  <c r="CA87" i="21"/>
  <c r="AC89" i="21"/>
  <c r="AD89" i="21" s="1"/>
  <c r="P88" i="21"/>
  <c r="Q88" i="21" s="1"/>
  <c r="W90" i="19"/>
  <c r="T91" i="19"/>
  <c r="O90" i="19"/>
  <c r="J91" i="19" s="1"/>
  <c r="N90" i="19"/>
  <c r="P90" i="19"/>
  <c r="BD88" i="21" l="1"/>
  <c r="BE88" i="21" s="1"/>
  <c r="BA89" i="21" s="1"/>
  <c r="BS88" i="21"/>
  <c r="BT88" i="21" s="1"/>
  <c r="BP89" i="21" s="1"/>
  <c r="BQ89" i="21" s="1"/>
  <c r="BR89" i="21" s="1"/>
  <c r="AT88" i="21"/>
  <c r="AU88" i="21" s="1"/>
  <c r="BL88" i="21"/>
  <c r="BM88" i="21" s="1"/>
  <c r="K89" i="21"/>
  <c r="M89" i="21"/>
  <c r="BX88" i="21"/>
  <c r="BY88" i="21" s="1"/>
  <c r="BU89" i="21" s="1"/>
  <c r="AW88" i="21"/>
  <c r="AX88" i="21" s="1"/>
  <c r="Y91" i="19"/>
  <c r="K91" i="19"/>
  <c r="L91" i="19" s="1"/>
  <c r="M91" i="19" s="1"/>
  <c r="U91" i="19"/>
  <c r="BZ88" i="21" l="1"/>
  <c r="BI88" i="21" s="1"/>
  <c r="BJ88" i="21" s="1"/>
  <c r="BF89" i="21" s="1"/>
  <c r="BG89" i="21" s="1"/>
  <c r="BH89" i="21" s="1"/>
  <c r="CA88" i="21"/>
  <c r="BN88" i="21"/>
  <c r="BO88" i="21" s="1"/>
  <c r="BK89" i="21" s="1"/>
  <c r="BL89" i="21" s="1"/>
  <c r="BM89" i="21" s="1"/>
  <c r="N89" i="21"/>
  <c r="AR89" i="21" s="1"/>
  <c r="AO89" i="21"/>
  <c r="AP89" i="21" s="1"/>
  <c r="AL90" i="21" s="1"/>
  <c r="Z89" i="21"/>
  <c r="AA89" i="21" s="1"/>
  <c r="W90" i="21" s="1"/>
  <c r="L89" i="21"/>
  <c r="AQ89" i="21"/>
  <c r="U89" i="21" s="1"/>
  <c r="V89" i="21" s="1"/>
  <c r="R90" i="21" s="1"/>
  <c r="S90" i="21" s="1"/>
  <c r="T90" i="21" s="1"/>
  <c r="BV89" i="21"/>
  <c r="BW89" i="21" s="1"/>
  <c r="BB89" i="21"/>
  <c r="BC89" i="21" s="1"/>
  <c r="V91" i="19"/>
  <c r="X91" i="19" s="1"/>
  <c r="O91" i="19"/>
  <c r="N91" i="19"/>
  <c r="P91" i="19"/>
  <c r="AJ89" i="21" l="1"/>
  <c r="AK89" i="21" s="1"/>
  <c r="AG90" i="21" s="1"/>
  <c r="AH90" i="21" s="1"/>
  <c r="AI90" i="21" s="1"/>
  <c r="AY88" i="21"/>
  <c r="AZ88" i="21" s="1"/>
  <c r="AV89" i="21" s="1"/>
  <c r="BX89" i="21" s="1"/>
  <c r="BY89" i="21" s="1"/>
  <c r="BU90" i="21" s="1"/>
  <c r="BV90" i="21" s="1"/>
  <c r="BW90" i="21" s="1"/>
  <c r="O89" i="21"/>
  <c r="AE89" i="21"/>
  <c r="AF89" i="21" s="1"/>
  <c r="AB90" i="21" s="1"/>
  <c r="P89" i="21"/>
  <c r="X90" i="21"/>
  <c r="Y90" i="21" s="1"/>
  <c r="AM90" i="21"/>
  <c r="AN90" i="21" s="1"/>
  <c r="W91" i="19"/>
  <c r="S92" i="19"/>
  <c r="F26" i="19"/>
  <c r="J92" i="19"/>
  <c r="C26" i="19"/>
  <c r="H12" i="1" s="1"/>
  <c r="AW89" i="21" l="1"/>
  <c r="CA89" i="21" s="1"/>
  <c r="AT89" i="21"/>
  <c r="BD89" i="21"/>
  <c r="BE89" i="21" s="1"/>
  <c r="BA90" i="21" s="1"/>
  <c r="BB90" i="21" s="1"/>
  <c r="BS89" i="21"/>
  <c r="BT89" i="21" s="1"/>
  <c r="BP90" i="21" s="1"/>
  <c r="BQ90" i="21" s="1"/>
  <c r="BR90" i="21" s="1"/>
  <c r="Q89" i="21"/>
  <c r="K90" i="21" s="1"/>
  <c r="BN89" i="21"/>
  <c r="BO89" i="21" s="1"/>
  <c r="BK90" i="21" s="1"/>
  <c r="AC90" i="21"/>
  <c r="AD90" i="21" s="1"/>
  <c r="C41" i="19"/>
  <c r="D19" i="18" s="1"/>
  <c r="K92" i="19"/>
  <c r="F42" i="19"/>
  <c r="F41" i="19"/>
  <c r="D20" i="18" s="1"/>
  <c r="T92" i="19"/>
  <c r="U92" i="19" s="1"/>
  <c r="V92" i="19" s="1"/>
  <c r="AX89" i="21" l="1"/>
  <c r="BC90" i="21"/>
  <c r="AU89" i="21"/>
  <c r="BZ89" i="21"/>
  <c r="BI89" i="21" s="1"/>
  <c r="BJ89" i="21" s="1"/>
  <c r="BF90" i="21" s="1"/>
  <c r="BG90" i="21" s="1"/>
  <c r="BH90" i="21" s="1"/>
  <c r="D26" i="18"/>
  <c r="H5" i="18" s="1"/>
  <c r="M90" i="21"/>
  <c r="BL90" i="21"/>
  <c r="BM90" i="21" s="1"/>
  <c r="Z90" i="21"/>
  <c r="AA90" i="21" s="1"/>
  <c r="W91" i="21" s="1"/>
  <c r="L90" i="21"/>
  <c r="AQ90" i="21"/>
  <c r="C42" i="19"/>
  <c r="P92" i="19"/>
  <c r="X92" i="19"/>
  <c r="S93" i="19" s="1"/>
  <c r="L92" i="19"/>
  <c r="W92" i="19"/>
  <c r="Y92" i="19"/>
  <c r="AJ90" i="21" l="1"/>
  <c r="AK90" i="21" s="1"/>
  <c r="AG91" i="21" s="1"/>
  <c r="AH91" i="21" s="1"/>
  <c r="AI91" i="21" s="1"/>
  <c r="N90" i="21"/>
  <c r="AR90" i="21" s="1"/>
  <c r="U90" i="21"/>
  <c r="V90" i="21" s="1"/>
  <c r="R91" i="21" s="1"/>
  <c r="S91" i="21" s="1"/>
  <c r="T91" i="21" s="1"/>
  <c r="AO90" i="21"/>
  <c r="AP90" i="21" s="1"/>
  <c r="AL91" i="21" s="1"/>
  <c r="AM91" i="21" s="1"/>
  <c r="AN91" i="21" s="1"/>
  <c r="AY89" i="21"/>
  <c r="AZ89" i="21" s="1"/>
  <c r="AE90" i="21"/>
  <c r="AF90" i="21" s="1"/>
  <c r="AB91" i="21" s="1"/>
  <c r="X91" i="21"/>
  <c r="Y91" i="21" s="1"/>
  <c r="O90" i="21"/>
  <c r="M92" i="19"/>
  <c r="N92" i="19" s="1"/>
  <c r="T93" i="19"/>
  <c r="AV90" i="21" l="1"/>
  <c r="AT90" i="21"/>
  <c r="AC91" i="21"/>
  <c r="AD91" i="21" s="1"/>
  <c r="P90" i="21"/>
  <c r="Q90" i="21" s="1"/>
  <c r="U93" i="19"/>
  <c r="O92" i="19"/>
  <c r="J93" i="19" s="1"/>
  <c r="Y93" i="19"/>
  <c r="BZ90" i="21" l="1"/>
  <c r="BI90" i="21" s="1"/>
  <c r="BJ90" i="21" s="1"/>
  <c r="BF91" i="21" s="1"/>
  <c r="BG91" i="21" s="1"/>
  <c r="BH91" i="21" s="1"/>
  <c r="AU90" i="21"/>
  <c r="AW90" i="21"/>
  <c r="CA90" i="21" s="1"/>
  <c r="BD90" i="21"/>
  <c r="BE90" i="21" s="1"/>
  <c r="BA91" i="21" s="1"/>
  <c r="BB91" i="21" s="1"/>
  <c r="BC91" i="21" s="1"/>
  <c r="BX90" i="21"/>
  <c r="BY90" i="21" s="1"/>
  <c r="BU91" i="21" s="1"/>
  <c r="BV91" i="21" s="1"/>
  <c r="BW91" i="21" s="1"/>
  <c r="BS90" i="21"/>
  <c r="BT90" i="21" s="1"/>
  <c r="BP91" i="21" s="1"/>
  <c r="BQ91" i="21" s="1"/>
  <c r="BR91" i="21" s="1"/>
  <c r="BN90" i="21"/>
  <c r="BO90" i="21" s="1"/>
  <c r="BK91" i="21" s="1"/>
  <c r="BL91" i="21" s="1"/>
  <c r="M91" i="21"/>
  <c r="K91" i="21"/>
  <c r="K93" i="19"/>
  <c r="L93" i="19" s="1"/>
  <c r="M93" i="19" s="1"/>
  <c r="V93" i="19"/>
  <c r="X93" i="19" s="1"/>
  <c r="S94" i="19" s="1"/>
  <c r="AX90" i="21" l="1"/>
  <c r="AY90" i="21" s="1"/>
  <c r="AZ90" i="21" s="1"/>
  <c r="BM91" i="21"/>
  <c r="L91" i="21"/>
  <c r="AQ91" i="21"/>
  <c r="P91" i="21" s="1"/>
  <c r="N91" i="21"/>
  <c r="AR91" i="21" s="1"/>
  <c r="Z91" i="21"/>
  <c r="AA91" i="21" s="1"/>
  <c r="W92" i="21" s="1"/>
  <c r="X92" i="21" s="1"/>
  <c r="Y92" i="21" s="1"/>
  <c r="AO91" i="21"/>
  <c r="AP91" i="21" s="1"/>
  <c r="AL92" i="21" s="1"/>
  <c r="W93" i="19"/>
  <c r="T94" i="19"/>
  <c r="U94" i="19" s="1"/>
  <c r="V94" i="19" s="1"/>
  <c r="O93" i="19"/>
  <c r="J94" i="19" s="1"/>
  <c r="N93" i="19"/>
  <c r="P93" i="19"/>
  <c r="AJ91" i="21" l="1"/>
  <c r="AK91" i="21" s="1"/>
  <c r="AG92" i="21" s="1"/>
  <c r="AH92" i="21" s="1"/>
  <c r="AI92" i="21" s="1"/>
  <c r="AT91" i="21"/>
  <c r="AV91" i="21"/>
  <c r="BS91" i="21" s="1"/>
  <c r="BT91" i="21" s="1"/>
  <c r="BP92" i="21" s="1"/>
  <c r="BQ92" i="21" s="1"/>
  <c r="BR92" i="21" s="1"/>
  <c r="BN91" i="21"/>
  <c r="BO91" i="21" s="1"/>
  <c r="BK92" i="21" s="1"/>
  <c r="BL92" i="21" s="1"/>
  <c r="BM92" i="21" s="1"/>
  <c r="BD91" i="21"/>
  <c r="BE91" i="21" s="1"/>
  <c r="BA92" i="21" s="1"/>
  <c r="BB92" i="21" s="1"/>
  <c r="BC92" i="21" s="1"/>
  <c r="BX91" i="21"/>
  <c r="BY91" i="21" s="1"/>
  <c r="BU92" i="21" s="1"/>
  <c r="BV92" i="21" s="1"/>
  <c r="BW92" i="21" s="1"/>
  <c r="BZ91" i="21"/>
  <c r="BI91" i="21" s="1"/>
  <c r="BJ91" i="21" s="1"/>
  <c r="BF92" i="21" s="1"/>
  <c r="BG92" i="21" s="1"/>
  <c r="BH92" i="21" s="1"/>
  <c r="AU91" i="21"/>
  <c r="AW91" i="21"/>
  <c r="CA91" i="21" s="1"/>
  <c r="U91" i="21"/>
  <c r="V91" i="21" s="1"/>
  <c r="R92" i="21" s="1"/>
  <c r="S92" i="21" s="1"/>
  <c r="T92" i="21" s="1"/>
  <c r="O91" i="21"/>
  <c r="Q91" i="21" s="1"/>
  <c r="AE91" i="21"/>
  <c r="AF91" i="21" s="1"/>
  <c r="AB92" i="21" s="1"/>
  <c r="AM92" i="21"/>
  <c r="AN92" i="21" s="1"/>
  <c r="X94" i="19"/>
  <c r="S95" i="19" s="1"/>
  <c r="T95" i="19" s="1"/>
  <c r="K94" i="19"/>
  <c r="W94" i="19"/>
  <c r="Y94" i="19"/>
  <c r="AX91" i="21" l="1"/>
  <c r="AY91" i="21" s="1"/>
  <c r="AZ91" i="21" s="1"/>
  <c r="K92" i="21"/>
  <c r="L92" i="21" s="1"/>
  <c r="AC92" i="21"/>
  <c r="AD92" i="21" s="1"/>
  <c r="M92" i="21"/>
  <c r="AO92" i="21" s="1"/>
  <c r="AP92" i="21" s="1"/>
  <c r="AL93" i="21" s="1"/>
  <c r="AM93" i="21" s="1"/>
  <c r="Z92" i="21"/>
  <c r="AA92" i="21" s="1"/>
  <c r="W93" i="21" s="1"/>
  <c r="U95" i="19"/>
  <c r="Y95" i="19"/>
  <c r="P94" i="19"/>
  <c r="L94" i="19"/>
  <c r="AV92" i="21" l="1"/>
  <c r="BN92" i="21" s="1"/>
  <c r="BO92" i="21" s="1"/>
  <c r="BK93" i="21" s="1"/>
  <c r="AT92" i="21"/>
  <c r="AN93" i="21"/>
  <c r="N92" i="21"/>
  <c r="O92" i="21" s="1"/>
  <c r="AQ92" i="21"/>
  <c r="AE92" i="21" s="1"/>
  <c r="AF92" i="21" s="1"/>
  <c r="AB93" i="21" s="1"/>
  <c r="X93" i="21"/>
  <c r="Y93" i="21" s="1"/>
  <c r="M94" i="19"/>
  <c r="O94" i="19" s="1"/>
  <c r="J95" i="19" s="1"/>
  <c r="V95" i="19"/>
  <c r="X95" i="19" s="1"/>
  <c r="S96" i="19" s="1"/>
  <c r="AR92" i="21" l="1"/>
  <c r="AJ92" i="21"/>
  <c r="AK92" i="21" s="1"/>
  <c r="AG93" i="21" s="1"/>
  <c r="AU92" i="21"/>
  <c r="BZ92" i="21"/>
  <c r="BI92" i="21" s="1"/>
  <c r="BJ92" i="21" s="1"/>
  <c r="BF93" i="21" s="1"/>
  <c r="BG93" i="21" s="1"/>
  <c r="BH93" i="21" s="1"/>
  <c r="BS92" i="21"/>
  <c r="BT92" i="21" s="1"/>
  <c r="BP93" i="21" s="1"/>
  <c r="BQ93" i="21" s="1"/>
  <c r="BR93" i="21" s="1"/>
  <c r="AW92" i="21"/>
  <c r="CA92" i="21" s="1"/>
  <c r="BX92" i="21"/>
  <c r="BY92" i="21" s="1"/>
  <c r="BU93" i="21" s="1"/>
  <c r="BV93" i="21" s="1"/>
  <c r="BW93" i="21" s="1"/>
  <c r="BD92" i="21"/>
  <c r="BE92" i="21" s="1"/>
  <c r="BA93" i="21" s="1"/>
  <c r="BB93" i="21" s="1"/>
  <c r="BC93" i="21" s="1"/>
  <c r="U92" i="21"/>
  <c r="V92" i="21" s="1"/>
  <c r="R93" i="21" s="1"/>
  <c r="S93" i="21" s="1"/>
  <c r="T93" i="21" s="1"/>
  <c r="AH93" i="21"/>
  <c r="AI93" i="21" s="1"/>
  <c r="AC93" i="21"/>
  <c r="AD93" i="21" s="1"/>
  <c r="BL93" i="21"/>
  <c r="BM93" i="21" s="1"/>
  <c r="P92" i="21"/>
  <c r="Q92" i="21" s="1"/>
  <c r="N94" i="19"/>
  <c r="T96" i="19"/>
  <c r="U96" i="19"/>
  <c r="K95" i="19"/>
  <c r="L95" i="19" s="1"/>
  <c r="W95" i="19"/>
  <c r="AX92" i="21" l="1"/>
  <c r="M93" i="21"/>
  <c r="K93" i="21"/>
  <c r="M95" i="19"/>
  <c r="O95" i="19" s="1"/>
  <c r="J96" i="19" s="1"/>
  <c r="V96" i="19"/>
  <c r="X96" i="19" s="1"/>
  <c r="S97" i="19" s="1"/>
  <c r="P95" i="19"/>
  <c r="Y96" i="19"/>
  <c r="AY92" i="21" l="1"/>
  <c r="AZ92" i="21" s="1"/>
  <c r="L93" i="21"/>
  <c r="AQ93" i="21"/>
  <c r="U93" i="21" s="1"/>
  <c r="V93" i="21" s="1"/>
  <c r="R94" i="21" s="1"/>
  <c r="N93" i="21"/>
  <c r="AR93" i="21" s="1"/>
  <c r="P93" i="21"/>
  <c r="AO93" i="21"/>
  <c r="AP93" i="21" s="1"/>
  <c r="AL94" i="21" s="1"/>
  <c r="Z93" i="21"/>
  <c r="AA93" i="21" s="1"/>
  <c r="W94" i="21" s="1"/>
  <c r="X94" i="21" s="1"/>
  <c r="Y94" i="21" s="1"/>
  <c r="N95" i="19"/>
  <c r="T97" i="19"/>
  <c r="K96" i="19"/>
  <c r="L96" i="19" s="1"/>
  <c r="W96" i="19"/>
  <c r="AJ93" i="21" l="1"/>
  <c r="AK93" i="21" s="1"/>
  <c r="AG94" i="21" s="1"/>
  <c r="AH94" i="21" s="1"/>
  <c r="AI94" i="21" s="1"/>
  <c r="AV93" i="21"/>
  <c r="AT93" i="21"/>
  <c r="O93" i="21"/>
  <c r="Q93" i="21" s="1"/>
  <c r="M94" i="21" s="1"/>
  <c r="AE93" i="21"/>
  <c r="AF93" i="21" s="1"/>
  <c r="AB94" i="21" s="1"/>
  <c r="AC94" i="21" s="1"/>
  <c r="AD94" i="21" s="1"/>
  <c r="AM94" i="21"/>
  <c r="AN94" i="21" s="1"/>
  <c r="S94" i="21"/>
  <c r="T94" i="21" s="1"/>
  <c r="M96" i="19"/>
  <c r="O96" i="19" s="1"/>
  <c r="J97" i="19" s="1"/>
  <c r="P96" i="19"/>
  <c r="Y97" i="19"/>
  <c r="U97" i="19"/>
  <c r="BZ93" i="21" l="1"/>
  <c r="BI93" i="21" s="1"/>
  <c r="BJ93" i="21" s="1"/>
  <c r="BF94" i="21" s="1"/>
  <c r="BG94" i="21" s="1"/>
  <c r="BH94" i="21" s="1"/>
  <c r="AU93" i="21"/>
  <c r="BS93" i="21"/>
  <c r="BT93" i="21" s="1"/>
  <c r="BP94" i="21" s="1"/>
  <c r="BQ94" i="21" s="1"/>
  <c r="BR94" i="21" s="1"/>
  <c r="AW93" i="21"/>
  <c r="CA93" i="21" s="1"/>
  <c r="BD93" i="21"/>
  <c r="BE93" i="21" s="1"/>
  <c r="BA94" i="21" s="1"/>
  <c r="BB94" i="21" s="1"/>
  <c r="BC94" i="21" s="1"/>
  <c r="BX93" i="21"/>
  <c r="BY93" i="21" s="1"/>
  <c r="BU94" i="21" s="1"/>
  <c r="BV94" i="21" s="1"/>
  <c r="BW94" i="21" s="1"/>
  <c r="BN93" i="21"/>
  <c r="BO93" i="21" s="1"/>
  <c r="BK94" i="21" s="1"/>
  <c r="BL94" i="21" s="1"/>
  <c r="BM94" i="21" s="1"/>
  <c r="K94" i="21"/>
  <c r="L94" i="21" s="1"/>
  <c r="N94" i="21"/>
  <c r="AR94" i="21" s="1"/>
  <c r="AO94" i="21"/>
  <c r="AP94" i="21" s="1"/>
  <c r="AL95" i="21" s="1"/>
  <c r="N96" i="19"/>
  <c r="K97" i="19"/>
  <c r="L97" i="19" s="1"/>
  <c r="V97" i="19"/>
  <c r="W97" i="19" s="1"/>
  <c r="AX93" i="21" l="1"/>
  <c r="AY93" i="21" s="1"/>
  <c r="AZ93" i="21" s="1"/>
  <c r="AV94" i="21" s="1"/>
  <c r="AW94" i="21" s="1"/>
  <c r="CA94" i="21" s="1"/>
  <c r="AQ94" i="21"/>
  <c r="AJ94" i="21" s="1"/>
  <c r="AK94" i="21" s="1"/>
  <c r="AG95" i="21" s="1"/>
  <c r="AH95" i="21" s="1"/>
  <c r="AI95" i="21" s="1"/>
  <c r="O94" i="21"/>
  <c r="P94" i="21" s="1"/>
  <c r="Q94" i="21" s="1"/>
  <c r="M95" i="21" s="1"/>
  <c r="AM95" i="21"/>
  <c r="AN95" i="21" s="1"/>
  <c r="M97" i="19"/>
  <c r="O97" i="19" s="1"/>
  <c r="J98" i="19" s="1"/>
  <c r="X97" i="19"/>
  <c r="S98" i="19" s="1"/>
  <c r="P97" i="19"/>
  <c r="BD94" i="21" l="1"/>
  <c r="BE94" i="21" s="1"/>
  <c r="BA95" i="21" s="1"/>
  <c r="BB95" i="21" s="1"/>
  <c r="BC95" i="21" s="1"/>
  <c r="BS94" i="21"/>
  <c r="BT94" i="21" s="1"/>
  <c r="BP95" i="21" s="1"/>
  <c r="BQ95" i="21" s="1"/>
  <c r="BR95" i="21" s="1"/>
  <c r="BX94" i="21"/>
  <c r="BY94" i="21" s="1"/>
  <c r="BU95" i="21" s="1"/>
  <c r="BV95" i="21" s="1"/>
  <c r="BW95" i="21" s="1"/>
  <c r="AT94" i="21"/>
  <c r="Z94" i="21"/>
  <c r="AA94" i="21" s="1"/>
  <c r="W95" i="21" s="1"/>
  <c r="X95" i="21" s="1"/>
  <c r="Y95" i="21" s="1"/>
  <c r="U94" i="21"/>
  <c r="V94" i="21" s="1"/>
  <c r="R95" i="21" s="1"/>
  <c r="S95" i="21" s="1"/>
  <c r="T95" i="21" s="1"/>
  <c r="AE94" i="21"/>
  <c r="AF94" i="21" s="1"/>
  <c r="AB95" i="21" s="1"/>
  <c r="AC95" i="21" s="1"/>
  <c r="AD95" i="21" s="1"/>
  <c r="BN94" i="21"/>
  <c r="BO94" i="21" s="1"/>
  <c r="BK95" i="21" s="1"/>
  <c r="N95" i="21"/>
  <c r="AX94" i="21"/>
  <c r="N97" i="19"/>
  <c r="K98" i="19"/>
  <c r="T98" i="19"/>
  <c r="U98" i="19"/>
  <c r="V98" i="19" s="1"/>
  <c r="AU94" i="21" l="1"/>
  <c r="BZ94" i="21"/>
  <c r="BI94" i="21" s="1"/>
  <c r="BJ94" i="21" s="1"/>
  <c r="BF95" i="21" s="1"/>
  <c r="BG95" i="21" s="1"/>
  <c r="BH95" i="21" s="1"/>
  <c r="AO95" i="21"/>
  <c r="AP95" i="21" s="1"/>
  <c r="AL96" i="21" s="1"/>
  <c r="AM96" i="21" s="1"/>
  <c r="AN96" i="21" s="1"/>
  <c r="K95" i="21"/>
  <c r="AR95" i="21"/>
  <c r="BL95" i="21"/>
  <c r="BM95" i="21" s="1"/>
  <c r="O95" i="21"/>
  <c r="AY94" i="21"/>
  <c r="AZ94" i="21" s="1"/>
  <c r="X98" i="19"/>
  <c r="S99" i="19" s="1"/>
  <c r="W98" i="19"/>
  <c r="Y98" i="19"/>
  <c r="P98" i="19"/>
  <c r="L98" i="19"/>
  <c r="AQ95" i="21" l="1"/>
  <c r="AJ95" i="21" s="1"/>
  <c r="AK95" i="21" s="1"/>
  <c r="AG96" i="21" s="1"/>
  <c r="AH96" i="21" s="1"/>
  <c r="AI96" i="21" s="1"/>
  <c r="L95" i="21"/>
  <c r="AV95" i="21"/>
  <c r="AT95" i="21"/>
  <c r="M98" i="19"/>
  <c r="O98" i="19" s="1"/>
  <c r="J99" i="19" s="1"/>
  <c r="T99" i="19"/>
  <c r="Y99" i="19" s="1"/>
  <c r="U95" i="21" l="1"/>
  <c r="V95" i="21" s="1"/>
  <c r="R96" i="21" s="1"/>
  <c r="S96" i="21" s="1"/>
  <c r="T96" i="21" s="1"/>
  <c r="P95" i="21"/>
  <c r="Q95" i="21" s="1"/>
  <c r="M96" i="21" s="1"/>
  <c r="Z95" i="21"/>
  <c r="AA95" i="21" s="1"/>
  <c r="W96" i="21" s="1"/>
  <c r="X96" i="21" s="1"/>
  <c r="Y96" i="21" s="1"/>
  <c r="AE95" i="21"/>
  <c r="AF95" i="21" s="1"/>
  <c r="AB96" i="21" s="1"/>
  <c r="AC96" i="21" s="1"/>
  <c r="AD96" i="21" s="1"/>
  <c r="BS95" i="21"/>
  <c r="BT95" i="21" s="1"/>
  <c r="BP96" i="21" s="1"/>
  <c r="AU95" i="21"/>
  <c r="BZ95" i="21"/>
  <c r="BI95" i="21" s="1"/>
  <c r="BJ95" i="21" s="1"/>
  <c r="BF96" i="21" s="1"/>
  <c r="AW95" i="21"/>
  <c r="CA95" i="21" s="1"/>
  <c r="BX95" i="21"/>
  <c r="BY95" i="21" s="1"/>
  <c r="BU96" i="21" s="1"/>
  <c r="N98" i="19"/>
  <c r="U99" i="19"/>
  <c r="V99" i="19" s="1"/>
  <c r="K99" i="19"/>
  <c r="L99" i="19" s="1"/>
  <c r="M99" i="19" s="1"/>
  <c r="AX95" i="21" l="1"/>
  <c r="AY95" i="21" s="1"/>
  <c r="AZ95" i="21" s="1"/>
  <c r="AO96" i="21"/>
  <c r="AP96" i="21" s="1"/>
  <c r="AL97" i="21" s="1"/>
  <c r="AM97" i="21" s="1"/>
  <c r="AN97" i="21" s="1"/>
  <c r="BD95" i="21"/>
  <c r="BE95" i="21" s="1"/>
  <c r="BA96" i="21" s="1"/>
  <c r="BB96" i="21" s="1"/>
  <c r="BC96" i="21" s="1"/>
  <c r="N96" i="21"/>
  <c r="AR96" i="21" s="1"/>
  <c r="Z96" i="21"/>
  <c r="AA96" i="21" s="1"/>
  <c r="W97" i="21" s="1"/>
  <c r="X97" i="21" s="1"/>
  <c r="Y97" i="21" s="1"/>
  <c r="K96" i="21"/>
  <c r="BN95" i="21"/>
  <c r="BO95" i="21" s="1"/>
  <c r="BK96" i="21" s="1"/>
  <c r="BQ96" i="21"/>
  <c r="BR96" i="21" s="1"/>
  <c r="BG96" i="21"/>
  <c r="BH96" i="21" s="1"/>
  <c r="BV96" i="21"/>
  <c r="BW96" i="21" s="1"/>
  <c r="W99" i="19"/>
  <c r="X99" i="19"/>
  <c r="S100" i="19" s="1"/>
  <c r="T100" i="19" s="1"/>
  <c r="O99" i="19"/>
  <c r="J100" i="19" s="1"/>
  <c r="N99" i="19"/>
  <c r="P99" i="19"/>
  <c r="O96" i="21" l="1"/>
  <c r="L96" i="21"/>
  <c r="AQ96" i="21"/>
  <c r="AJ96" i="21" s="1"/>
  <c r="AK96" i="21" s="1"/>
  <c r="AG97" i="21" s="1"/>
  <c r="AH97" i="21" s="1"/>
  <c r="AI97" i="21" s="1"/>
  <c r="BL96" i="21"/>
  <c r="BM96" i="21" s="1"/>
  <c r="AV96" i="21"/>
  <c r="AT96" i="21"/>
  <c r="P96" i="21"/>
  <c r="Q96" i="21" s="1"/>
  <c r="U100" i="19"/>
  <c r="V100" i="19" s="1"/>
  <c r="X100" i="19" s="1"/>
  <c r="S101" i="19" s="1"/>
  <c r="K100" i="19"/>
  <c r="Y100" i="19"/>
  <c r="AE96" i="21" l="1"/>
  <c r="AF96" i="21" s="1"/>
  <c r="AB97" i="21" s="1"/>
  <c r="AC97" i="21" s="1"/>
  <c r="AD97" i="21" s="1"/>
  <c r="U96" i="21"/>
  <c r="V96" i="21" s="1"/>
  <c r="R97" i="21" s="1"/>
  <c r="S97" i="21" s="1"/>
  <c r="T97" i="21" s="1"/>
  <c r="BS96" i="21"/>
  <c r="BT96" i="21" s="1"/>
  <c r="BP97" i="21" s="1"/>
  <c r="BN96" i="21"/>
  <c r="BO96" i="21" s="1"/>
  <c r="BK97" i="21" s="1"/>
  <c r="M97" i="21"/>
  <c r="BZ96" i="21"/>
  <c r="BD96" i="21" s="1"/>
  <c r="BE96" i="21" s="1"/>
  <c r="BA97" i="21" s="1"/>
  <c r="AU96" i="21"/>
  <c r="AW96" i="21"/>
  <c r="CA96" i="21" s="1"/>
  <c r="BX96" i="21"/>
  <c r="BY96" i="21" s="1"/>
  <c r="BU97" i="21" s="1"/>
  <c r="BV97" i="21" s="1"/>
  <c r="BW97" i="21" s="1"/>
  <c r="BI96" i="21"/>
  <c r="BJ96" i="21" s="1"/>
  <c r="BF97" i="21" s="1"/>
  <c r="BG97" i="21" s="1"/>
  <c r="BH97" i="21" s="1"/>
  <c r="T101" i="19"/>
  <c r="W100" i="19"/>
  <c r="L100" i="19"/>
  <c r="P100" i="19"/>
  <c r="AX96" i="21" l="1"/>
  <c r="AY96" i="21" s="1"/>
  <c r="AZ96" i="21" s="1"/>
  <c r="AV97" i="21" s="1"/>
  <c r="BS97" i="21" s="1"/>
  <c r="K97" i="21"/>
  <c r="L97" i="21" s="1"/>
  <c r="BL97" i="21"/>
  <c r="BM97" i="21" s="1"/>
  <c r="BQ97" i="21"/>
  <c r="BR97" i="21" s="1"/>
  <c r="BB97" i="21"/>
  <c r="BC97" i="21" s="1"/>
  <c r="N97" i="21"/>
  <c r="AR97" i="21" s="1"/>
  <c r="AQ97" i="21"/>
  <c r="Z97" i="21" s="1"/>
  <c r="AA97" i="21" s="1"/>
  <c r="W98" i="21" s="1"/>
  <c r="M100" i="19"/>
  <c r="O100" i="19" s="1"/>
  <c r="J101" i="19" s="1"/>
  <c r="Y101" i="19"/>
  <c r="U101" i="19"/>
  <c r="AJ97" i="21" l="1"/>
  <c r="AK97" i="21" s="1"/>
  <c r="AG98" i="21" s="1"/>
  <c r="AH98" i="21" s="1"/>
  <c r="AI98" i="21" s="1"/>
  <c r="AT97" i="21"/>
  <c r="U97" i="21"/>
  <c r="V97" i="21" s="1"/>
  <c r="R98" i="21" s="1"/>
  <c r="S98" i="21" s="1"/>
  <c r="T98" i="21" s="1"/>
  <c r="BT97" i="21"/>
  <c r="BP98" i="21" s="1"/>
  <c r="O97" i="21"/>
  <c r="AE97" i="21"/>
  <c r="AF97" i="21" s="1"/>
  <c r="AB98" i="21" s="1"/>
  <c r="X98" i="21"/>
  <c r="Y98" i="21" s="1"/>
  <c r="BX97" i="21"/>
  <c r="BY97" i="21" s="1"/>
  <c r="BU98" i="21" s="1"/>
  <c r="AW97" i="21"/>
  <c r="CA97" i="21" s="1"/>
  <c r="AO97" i="21"/>
  <c r="AP97" i="21" s="1"/>
  <c r="AL98" i="21" s="1"/>
  <c r="BZ97" i="21"/>
  <c r="AU97" i="21"/>
  <c r="N100" i="19"/>
  <c r="K101" i="19"/>
  <c r="L101" i="19" s="1"/>
  <c r="M101" i="19" s="1"/>
  <c r="V101" i="19"/>
  <c r="X101" i="19" s="1"/>
  <c r="S102" i="19" s="1"/>
  <c r="AX97" i="21" l="1"/>
  <c r="AY97" i="21" s="1"/>
  <c r="AZ97" i="21" s="1"/>
  <c r="P97" i="21"/>
  <c r="Q97" i="21" s="1"/>
  <c r="BI97" i="21"/>
  <c r="BJ97" i="21" s="1"/>
  <c r="BF98" i="21" s="1"/>
  <c r="BG98" i="21" s="1"/>
  <c r="BH98" i="21" s="1"/>
  <c r="BD97" i="21"/>
  <c r="BE97" i="21" s="1"/>
  <c r="BA98" i="21" s="1"/>
  <c r="BB98" i="21" s="1"/>
  <c r="BC98" i="21" s="1"/>
  <c r="AC98" i="21"/>
  <c r="AD98" i="21" s="1"/>
  <c r="BQ98" i="21"/>
  <c r="BR98" i="21" s="1"/>
  <c r="BN97" i="21"/>
  <c r="BO97" i="21" s="1"/>
  <c r="BK98" i="21" s="1"/>
  <c r="AM98" i="21"/>
  <c r="AN98" i="21" s="1"/>
  <c r="BV98" i="21"/>
  <c r="BW98" i="21" s="1"/>
  <c r="T102" i="19"/>
  <c r="U102" i="19" s="1"/>
  <c r="V102" i="19" s="1"/>
  <c r="W101" i="19"/>
  <c r="O101" i="19"/>
  <c r="J102" i="19" s="1"/>
  <c r="N101" i="19"/>
  <c r="P101" i="19"/>
  <c r="M98" i="21" l="1"/>
  <c r="K98" i="21"/>
  <c r="L98" i="21" s="1"/>
  <c r="BL98" i="21"/>
  <c r="BM98" i="21" s="1"/>
  <c r="AV98" i="21"/>
  <c r="BS98" i="21" s="1"/>
  <c r="BT98" i="21" s="1"/>
  <c r="BP99" i="21" s="1"/>
  <c r="AT98" i="21"/>
  <c r="AQ98" i="21"/>
  <c r="K102" i="19"/>
  <c r="X102" i="19"/>
  <c r="S103" i="19" s="1"/>
  <c r="W102" i="19"/>
  <c r="Y102" i="19"/>
  <c r="AJ98" i="21" l="1"/>
  <c r="AK98" i="21" s="1"/>
  <c r="AG99" i="21" s="1"/>
  <c r="AH99" i="21" s="1"/>
  <c r="AI99" i="21" s="1"/>
  <c r="N98" i="21"/>
  <c r="Z98" i="21"/>
  <c r="AA98" i="21" s="1"/>
  <c r="W99" i="21" s="1"/>
  <c r="X99" i="21" s="1"/>
  <c r="Y99" i="21" s="1"/>
  <c r="U98" i="21"/>
  <c r="V98" i="21" s="1"/>
  <c r="R99" i="21" s="1"/>
  <c r="S99" i="21" s="1"/>
  <c r="T99" i="21" s="1"/>
  <c r="AE98" i="21"/>
  <c r="AF98" i="21" s="1"/>
  <c r="AB99" i="21" s="1"/>
  <c r="BQ99" i="21"/>
  <c r="BR99" i="21" s="1"/>
  <c r="BN98" i="21"/>
  <c r="BO98" i="21" s="1"/>
  <c r="BK99" i="21" s="1"/>
  <c r="BZ98" i="21"/>
  <c r="BI98" i="21" s="1"/>
  <c r="BJ98" i="21" s="1"/>
  <c r="BF99" i="21" s="1"/>
  <c r="BG99" i="21" s="1"/>
  <c r="BH99" i="21" s="1"/>
  <c r="AU98" i="21"/>
  <c r="AW98" i="21"/>
  <c r="CA98" i="21" s="1"/>
  <c r="AX98" i="21"/>
  <c r="BX98" i="21"/>
  <c r="BY98" i="21" s="1"/>
  <c r="BU99" i="21" s="1"/>
  <c r="AO98" i="21"/>
  <c r="AP98" i="21" s="1"/>
  <c r="AL99" i="21" s="1"/>
  <c r="T103" i="19"/>
  <c r="L102" i="19"/>
  <c r="P102" i="19"/>
  <c r="AY98" i="21" l="1"/>
  <c r="AR98" i="21"/>
  <c r="O98" i="21"/>
  <c r="AC99" i="21"/>
  <c r="AD99" i="21" s="1"/>
  <c r="BD98" i="21"/>
  <c r="BE98" i="21" s="1"/>
  <c r="BA99" i="21" s="1"/>
  <c r="AZ98" i="21"/>
  <c r="BL99" i="21"/>
  <c r="BM99" i="21" s="1"/>
  <c r="BV99" i="21"/>
  <c r="BW99" i="21" s="1"/>
  <c r="AM99" i="21"/>
  <c r="AN99" i="21" s="1"/>
  <c r="M102" i="19"/>
  <c r="O102" i="19" s="1"/>
  <c r="J103" i="19" s="1"/>
  <c r="Y103" i="19"/>
  <c r="U103" i="19"/>
  <c r="AT99" i="21" l="1"/>
  <c r="BZ99" i="21" s="1"/>
  <c r="P98" i="21"/>
  <c r="Q98" i="21" s="1"/>
  <c r="AV99" i="21"/>
  <c r="BS99" i="21" s="1"/>
  <c r="BT99" i="21" s="1"/>
  <c r="BP100" i="21" s="1"/>
  <c r="BQ100" i="21" s="1"/>
  <c r="BR100" i="21" s="1"/>
  <c r="BB99" i="21"/>
  <c r="BC99" i="21" s="1"/>
  <c r="BX99" i="21"/>
  <c r="BY99" i="21" s="1"/>
  <c r="BU100" i="21" s="1"/>
  <c r="N102" i="19"/>
  <c r="K103" i="19"/>
  <c r="L103" i="19"/>
  <c r="M103" i="19" s="1"/>
  <c r="V103" i="19"/>
  <c r="X103" i="19" s="1"/>
  <c r="S104" i="19" s="1"/>
  <c r="AW99" i="21" l="1"/>
  <c r="CA99" i="21" s="1"/>
  <c r="BI99" i="21"/>
  <c r="BJ99" i="21" s="1"/>
  <c r="BF100" i="21" s="1"/>
  <c r="BG100" i="21" s="1"/>
  <c r="BH100" i="21" s="1"/>
  <c r="AU99" i="21"/>
  <c r="M99" i="21"/>
  <c r="K99" i="21"/>
  <c r="BD99" i="21"/>
  <c r="BE99" i="21" s="1"/>
  <c r="BA100" i="21" s="1"/>
  <c r="BB100" i="21" s="1"/>
  <c r="BC100" i="21" s="1"/>
  <c r="BN99" i="21"/>
  <c r="BO99" i="21" s="1"/>
  <c r="BK100" i="21" s="1"/>
  <c r="BV100" i="21"/>
  <c r="BW100" i="21" s="1"/>
  <c r="W103" i="19"/>
  <c r="T104" i="19"/>
  <c r="U104" i="19"/>
  <c r="O103" i="19"/>
  <c r="J104" i="19" s="1"/>
  <c r="N103" i="19"/>
  <c r="P103" i="19"/>
  <c r="AX99" i="21" l="1"/>
  <c r="AY99" i="21" s="1"/>
  <c r="AZ99" i="21" s="1"/>
  <c r="AV100" i="21" s="1"/>
  <c r="BX100" i="21" s="1"/>
  <c r="BY100" i="21" s="1"/>
  <c r="BU101" i="21" s="1"/>
  <c r="BV101" i="21" s="1"/>
  <c r="BW101" i="21" s="1"/>
  <c r="AO99" i="21"/>
  <c r="AP99" i="21" s="1"/>
  <c r="AL100" i="21" s="1"/>
  <c r="AM100" i="21" s="1"/>
  <c r="AN100" i="21" s="1"/>
  <c r="L99" i="21"/>
  <c r="AQ99" i="21"/>
  <c r="Z99" i="21" s="1"/>
  <c r="AA99" i="21" s="1"/>
  <c r="W100" i="21" s="1"/>
  <c r="X100" i="21" s="1"/>
  <c r="Y100" i="21" s="1"/>
  <c r="N99" i="21"/>
  <c r="AJ99" i="21"/>
  <c r="AK99" i="21" s="1"/>
  <c r="AG100" i="21" s="1"/>
  <c r="AE99" i="21"/>
  <c r="AF99" i="21" s="1"/>
  <c r="AB100" i="21" s="1"/>
  <c r="AC100" i="21" s="1"/>
  <c r="AD100" i="21" s="1"/>
  <c r="BL100" i="21"/>
  <c r="BM100" i="21" s="1"/>
  <c r="BS100" i="21"/>
  <c r="BT100" i="21" s="1"/>
  <c r="BP101" i="21" s="1"/>
  <c r="AT100" i="21"/>
  <c r="BZ100" i="21" s="1"/>
  <c r="BI100" i="21" s="1"/>
  <c r="BJ100" i="21" s="1"/>
  <c r="BF101" i="21" s="1"/>
  <c r="BG101" i="21" s="1"/>
  <c r="BH101" i="21" s="1"/>
  <c r="AW100" i="21"/>
  <c r="AX100" i="21" s="1"/>
  <c r="K104" i="19"/>
  <c r="V104" i="19"/>
  <c r="X104" i="19" s="1"/>
  <c r="S105" i="19" s="1"/>
  <c r="Y104" i="19"/>
  <c r="AY100" i="21" l="1"/>
  <c r="U99" i="21"/>
  <c r="V99" i="21" s="1"/>
  <c r="R100" i="21" s="1"/>
  <c r="S100" i="21" s="1"/>
  <c r="T100" i="21" s="1"/>
  <c r="BD100" i="21"/>
  <c r="BE100" i="21" s="1"/>
  <c r="BA101" i="21" s="1"/>
  <c r="BB101" i="21" s="1"/>
  <c r="BC101" i="21" s="1"/>
  <c r="CA100" i="21"/>
  <c r="AH100" i="21"/>
  <c r="AI100" i="21" s="1"/>
  <c r="O99" i="21"/>
  <c r="P99" i="21" s="1"/>
  <c r="Q99" i="21" s="1"/>
  <c r="AR99" i="21"/>
  <c r="Z100" i="21"/>
  <c r="AA100" i="21" s="1"/>
  <c r="W101" i="21" s="1"/>
  <c r="X101" i="21" s="1"/>
  <c r="Y101" i="21" s="1"/>
  <c r="AU100" i="21"/>
  <c r="BN100" i="21"/>
  <c r="BO100" i="21" s="1"/>
  <c r="AZ100" i="21"/>
  <c r="AV101" i="21" s="1"/>
  <c r="BQ101" i="21"/>
  <c r="BR101" i="21" s="1"/>
  <c r="T105" i="19"/>
  <c r="W104" i="19"/>
  <c r="L104" i="19"/>
  <c r="P104" i="19"/>
  <c r="M100" i="21" l="1"/>
  <c r="K100" i="21"/>
  <c r="BK101" i="21"/>
  <c r="AT101" i="21"/>
  <c r="AU101" i="21" s="1"/>
  <c r="AW101" i="21"/>
  <c r="AX101" i="21" s="1"/>
  <c r="BX101" i="21"/>
  <c r="BY101" i="21" s="1"/>
  <c r="BU102" i="21" s="1"/>
  <c r="M104" i="19"/>
  <c r="O104" i="19" s="1"/>
  <c r="J105" i="19" s="1"/>
  <c r="Y105" i="19"/>
  <c r="U105" i="19"/>
  <c r="AO100" i="21" l="1"/>
  <c r="AP100" i="21" s="1"/>
  <c r="AL101" i="21" s="1"/>
  <c r="AM101" i="21" s="1"/>
  <c r="AN101" i="21" s="1"/>
  <c r="N100" i="21"/>
  <c r="L100" i="21"/>
  <c r="AQ100" i="21"/>
  <c r="AE100" i="21" s="1"/>
  <c r="AF100" i="21" s="1"/>
  <c r="AB101" i="21" s="1"/>
  <c r="AC101" i="21" s="1"/>
  <c r="AD101" i="21" s="1"/>
  <c r="BZ101" i="21"/>
  <c r="BL101" i="21"/>
  <c r="BM101" i="21" s="1"/>
  <c r="BN101" i="21" s="1"/>
  <c r="BO101" i="21" s="1"/>
  <c r="BS101" i="21"/>
  <c r="BT101" i="21" s="1"/>
  <c r="BP102" i="21" s="1"/>
  <c r="BV102" i="21"/>
  <c r="BW102" i="21" s="1"/>
  <c r="N104" i="19"/>
  <c r="K105" i="19"/>
  <c r="L105" i="19"/>
  <c r="M105" i="19" s="1"/>
  <c r="V105" i="19"/>
  <c r="X105" i="19" s="1"/>
  <c r="S106" i="19" s="1"/>
  <c r="AJ100" i="21" l="1"/>
  <c r="AK100" i="21" s="1"/>
  <c r="AG101" i="21" s="1"/>
  <c r="AH101" i="21" s="1"/>
  <c r="AI101" i="21" s="1"/>
  <c r="U100" i="21"/>
  <c r="V100" i="21" s="1"/>
  <c r="R101" i="21" s="1"/>
  <c r="BI101" i="21"/>
  <c r="BJ101" i="21" s="1"/>
  <c r="BF102" i="21" s="1"/>
  <c r="BG102" i="21" s="1"/>
  <c r="BH102" i="21" s="1"/>
  <c r="AY101" i="21"/>
  <c r="AZ101" i="21" s="1"/>
  <c r="AV102" i="21" s="1"/>
  <c r="AW102" i="21" s="1"/>
  <c r="AX102" i="21" s="1"/>
  <c r="O100" i="21"/>
  <c r="AR100" i="21"/>
  <c r="CA101" i="21"/>
  <c r="BD101" i="21"/>
  <c r="BE101" i="21" s="1"/>
  <c r="BA102" i="21" s="1"/>
  <c r="BK102" i="21"/>
  <c r="BQ102" i="21"/>
  <c r="BR102" i="21" s="1"/>
  <c r="W105" i="19"/>
  <c r="T106" i="19"/>
  <c r="U106" i="19"/>
  <c r="V106" i="19" s="1"/>
  <c r="O105" i="19"/>
  <c r="J106" i="19" s="1"/>
  <c r="N105" i="19"/>
  <c r="P105" i="19"/>
  <c r="S101" i="21" l="1"/>
  <c r="T101" i="21" s="1"/>
  <c r="BB102" i="21"/>
  <c r="BC102" i="21" s="1"/>
  <c r="BX102" i="21"/>
  <c r="BY102" i="21" s="1"/>
  <c r="BU103" i="21" s="1"/>
  <c r="BV103" i="21" s="1"/>
  <c r="BW103" i="21" s="1"/>
  <c r="P100" i="21"/>
  <c r="Q100" i="21" s="1"/>
  <c r="BS102" i="21"/>
  <c r="BT102" i="21" s="1"/>
  <c r="BP103" i="21" s="1"/>
  <c r="BQ103" i="21" s="1"/>
  <c r="BR103" i="21" s="1"/>
  <c r="AT102" i="21"/>
  <c r="BL102" i="21"/>
  <c r="BM102" i="21" s="1"/>
  <c r="K106" i="19"/>
  <c r="L106" i="19" s="1"/>
  <c r="X106" i="19"/>
  <c r="S107" i="19" s="1"/>
  <c r="W106" i="19"/>
  <c r="Y106" i="19"/>
  <c r="CA102" i="21" l="1"/>
  <c r="M101" i="21"/>
  <c r="K101" i="21"/>
  <c r="AU102" i="21"/>
  <c r="BZ102" i="21"/>
  <c r="AY102" i="21" s="1"/>
  <c r="AZ102" i="21" s="1"/>
  <c r="AV103" i="21" s="1"/>
  <c r="BN102" i="21"/>
  <c r="BO102" i="21" s="1"/>
  <c r="M106" i="19"/>
  <c r="O106" i="19" s="1"/>
  <c r="J107" i="19" s="1"/>
  <c r="T107" i="19"/>
  <c r="P106" i="19"/>
  <c r="AO101" i="21" l="1"/>
  <c r="AP101" i="21" s="1"/>
  <c r="AL102" i="21" s="1"/>
  <c r="AM102" i="21" s="1"/>
  <c r="AN102" i="21" s="1"/>
  <c r="AW103" i="21"/>
  <c r="AX103" i="21" s="1"/>
  <c r="L101" i="21"/>
  <c r="AQ101" i="21"/>
  <c r="Z101" i="21" s="1"/>
  <c r="AA101" i="21" s="1"/>
  <c r="W102" i="21" s="1"/>
  <c r="N101" i="21"/>
  <c r="AR101" i="21" s="1"/>
  <c r="AE101" i="21"/>
  <c r="AF101" i="21" s="1"/>
  <c r="AB102" i="21" s="1"/>
  <c r="BI102" i="21"/>
  <c r="BJ102" i="21" s="1"/>
  <c r="BF103" i="21" s="1"/>
  <c r="BG103" i="21" s="1"/>
  <c r="BH103" i="21" s="1"/>
  <c r="BD102" i="21"/>
  <c r="BE102" i="21" s="1"/>
  <c r="BA103" i="21" s="1"/>
  <c r="BK103" i="21"/>
  <c r="N106" i="19"/>
  <c r="K107" i="19"/>
  <c r="P107" i="19" s="1"/>
  <c r="U107" i="19"/>
  <c r="Y107" i="19"/>
  <c r="AJ101" i="21" l="1"/>
  <c r="AK101" i="21" s="1"/>
  <c r="AG102" i="21" s="1"/>
  <c r="U101" i="21"/>
  <c r="V101" i="21" s="1"/>
  <c r="R102" i="21" s="1"/>
  <c r="S102" i="21" s="1"/>
  <c r="T102" i="21" s="1"/>
  <c r="BX103" i="21"/>
  <c r="BY103" i="21" s="1"/>
  <c r="BU104" i="21" s="1"/>
  <c r="BV104" i="21" s="1"/>
  <c r="BW104" i="21" s="1"/>
  <c r="O101" i="21"/>
  <c r="P101" i="21" s="1"/>
  <c r="AH102" i="21"/>
  <c r="AI102" i="21" s="1"/>
  <c r="AC102" i="21"/>
  <c r="AD102" i="21" s="1"/>
  <c r="X102" i="21"/>
  <c r="Y102" i="21"/>
  <c r="Z102" i="21"/>
  <c r="BB103" i="21"/>
  <c r="BC103" i="21" s="1"/>
  <c r="AT103" i="21"/>
  <c r="AU103" i="21" s="1"/>
  <c r="BS103" i="21"/>
  <c r="BT103" i="21" s="1"/>
  <c r="BP104" i="21" s="1"/>
  <c r="BQ104" i="21" s="1"/>
  <c r="BR104" i="21" s="1"/>
  <c r="BL103" i="21"/>
  <c r="L107" i="19"/>
  <c r="M107" i="19" s="1"/>
  <c r="V107" i="19"/>
  <c r="W107" i="19" s="1"/>
  <c r="O107" i="19" l="1"/>
  <c r="J108" i="19" s="1"/>
  <c r="N107" i="19"/>
  <c r="CA103" i="21"/>
  <c r="Q101" i="21"/>
  <c r="M102" i="21" s="1"/>
  <c r="AO102" i="21" s="1"/>
  <c r="AP102" i="21" s="1"/>
  <c r="AL103" i="21" s="1"/>
  <c r="AA102" i="21"/>
  <c r="W103" i="21" s="1"/>
  <c r="X103" i="21" s="1"/>
  <c r="Y103" i="21" s="1"/>
  <c r="BZ103" i="21"/>
  <c r="AY103" i="21" s="1"/>
  <c r="AZ103" i="21" s="1"/>
  <c r="AV104" i="21" s="1"/>
  <c r="BM103" i="21"/>
  <c r="BN103" i="21" s="1"/>
  <c r="BO103" i="21" s="1"/>
  <c r="BK104" i="21" s="1"/>
  <c r="BL104" i="21" s="1"/>
  <c r="X107" i="19"/>
  <c r="S108" i="19" s="1"/>
  <c r="T108" i="19" s="1"/>
  <c r="K108" i="19"/>
  <c r="L108" i="19" s="1"/>
  <c r="AW104" i="21" l="1"/>
  <c r="AX104" i="21"/>
  <c r="K102" i="21"/>
  <c r="AM103" i="21"/>
  <c r="AN103" i="21" s="1"/>
  <c r="L102" i="21"/>
  <c r="AQ102" i="21"/>
  <c r="U102" i="21" s="1"/>
  <c r="V102" i="21" s="1"/>
  <c r="R103" i="21" s="1"/>
  <c r="N102" i="21"/>
  <c r="AE102" i="21"/>
  <c r="AF102" i="21" s="1"/>
  <c r="BI103" i="21"/>
  <c r="BJ103" i="21" s="1"/>
  <c r="BF104" i="21" s="1"/>
  <c r="BG104" i="21" s="1"/>
  <c r="BH104" i="21" s="1"/>
  <c r="BD103" i="21"/>
  <c r="BE103" i="21" s="1"/>
  <c r="BA104" i="21" s="1"/>
  <c r="BM104" i="21"/>
  <c r="U108" i="19"/>
  <c r="V108" i="19" s="1"/>
  <c r="M108" i="19"/>
  <c r="O108" i="19" s="1"/>
  <c r="J109" i="19" s="1"/>
  <c r="P108" i="19"/>
  <c r="Y108" i="19"/>
  <c r="AJ102" i="21" l="1"/>
  <c r="AK102" i="21" s="1"/>
  <c r="AG103" i="21" s="1"/>
  <c r="AH103" i="21" s="1"/>
  <c r="AI103" i="21" s="1"/>
  <c r="BX104" i="21"/>
  <c r="BY104" i="21" s="1"/>
  <c r="BU105" i="21" s="1"/>
  <c r="AT104" i="21"/>
  <c r="BS104" i="21"/>
  <c r="BT104" i="21" s="1"/>
  <c r="BP105" i="21" s="1"/>
  <c r="BQ105" i="21" s="1"/>
  <c r="BR105" i="21" s="1"/>
  <c r="O102" i="21"/>
  <c r="AR102" i="21"/>
  <c r="S103" i="21"/>
  <c r="T103" i="21" s="1"/>
  <c r="AB103" i="21"/>
  <c r="BB104" i="21"/>
  <c r="AU104" i="21"/>
  <c r="BZ104" i="21"/>
  <c r="BI104" i="21" s="1"/>
  <c r="BJ104" i="21" s="1"/>
  <c r="W108" i="19"/>
  <c r="X108" i="19"/>
  <c r="S109" i="19" s="1"/>
  <c r="N108" i="19"/>
  <c r="K109" i="19"/>
  <c r="P109" i="19" s="1"/>
  <c r="T109" i="19"/>
  <c r="Y109" i="19" s="1"/>
  <c r="AY104" i="21" l="1"/>
  <c r="AZ104" i="21" s="1"/>
  <c r="AV105" i="21" s="1"/>
  <c r="BV105" i="21"/>
  <c r="BW105" i="21" s="1"/>
  <c r="P102" i="21"/>
  <c r="Q102" i="21" s="1"/>
  <c r="AC103" i="21"/>
  <c r="AD103" i="21" s="1"/>
  <c r="BC104" i="21"/>
  <c r="BD104" i="21" s="1"/>
  <c r="BE104" i="21" s="1"/>
  <c r="BA105" i="21" s="1"/>
  <c r="BB105" i="21" s="1"/>
  <c r="BC105" i="21" s="1"/>
  <c r="CA104" i="21"/>
  <c r="BN104" i="21"/>
  <c r="BO104" i="21" s="1"/>
  <c r="BK105" i="21" s="1"/>
  <c r="BL105" i="21" s="1"/>
  <c r="BM105" i="21" s="1"/>
  <c r="BF105" i="21"/>
  <c r="L109" i="19"/>
  <c r="M109" i="19" s="1"/>
  <c r="U109" i="19"/>
  <c r="V109" i="19" s="1"/>
  <c r="X109" i="19" s="1"/>
  <c r="S110" i="19" s="1"/>
  <c r="AW105" i="21" l="1"/>
  <c r="AX105" i="21" s="1"/>
  <c r="BX105" i="21"/>
  <c r="BY105" i="21" s="1"/>
  <c r="BU106" i="21" s="1"/>
  <c r="M103" i="21"/>
  <c r="K103" i="21"/>
  <c r="AT105" i="21"/>
  <c r="BZ105" i="21" s="1"/>
  <c r="BD105" i="21" s="1"/>
  <c r="BE105" i="21" s="1"/>
  <c r="BA106" i="21" s="1"/>
  <c r="BB106" i="21" s="1"/>
  <c r="BC106" i="21" s="1"/>
  <c r="BG105" i="21"/>
  <c r="BS105" i="21"/>
  <c r="BT105" i="21" s="1"/>
  <c r="BP106" i="21" s="1"/>
  <c r="BI105" i="21"/>
  <c r="N109" i="19"/>
  <c r="O109" i="19"/>
  <c r="J110" i="19" s="1"/>
  <c r="K110" i="19" s="1"/>
  <c r="L110" i="19" s="1"/>
  <c r="M110" i="19" s="1"/>
  <c r="W109" i="19"/>
  <c r="T110" i="19"/>
  <c r="U110" i="19"/>
  <c r="AO103" i="21" l="1"/>
  <c r="AP103" i="21" s="1"/>
  <c r="AL104" i="21" s="1"/>
  <c r="AM104" i="21" s="1"/>
  <c r="AN104" i="21" s="1"/>
  <c r="AY105" i="21"/>
  <c r="AZ105" i="21" s="1"/>
  <c r="AV106" i="21" s="1"/>
  <c r="BV106" i="21"/>
  <c r="BW106" i="21" s="1"/>
  <c r="N103" i="21"/>
  <c r="AQ103" i="21"/>
  <c r="Z103" i="21" s="1"/>
  <c r="AA103" i="21" s="1"/>
  <c r="W104" i="21" s="1"/>
  <c r="L103" i="21"/>
  <c r="AE103" i="21"/>
  <c r="AF103" i="21" s="1"/>
  <c r="AB104" i="21" s="1"/>
  <c r="AU105" i="21"/>
  <c r="BH105" i="21"/>
  <c r="BJ105" i="21" s="1"/>
  <c r="BF106" i="21" s="1"/>
  <c r="CA105" i="21"/>
  <c r="BN105" i="21"/>
  <c r="BO105" i="21" s="1"/>
  <c r="BK106" i="21" s="1"/>
  <c r="BL106" i="21" s="1"/>
  <c r="BQ106" i="21"/>
  <c r="BR106" i="21" s="1"/>
  <c r="N110" i="19"/>
  <c r="P110" i="19"/>
  <c r="O110" i="19"/>
  <c r="J111" i="19" s="1"/>
  <c r="V110" i="19"/>
  <c r="X110" i="19" s="1"/>
  <c r="S111" i="19" s="1"/>
  <c r="Y110" i="19"/>
  <c r="AJ103" i="21" l="1"/>
  <c r="AK103" i="21" s="1"/>
  <c r="AG104" i="21" s="1"/>
  <c r="U103" i="21"/>
  <c r="V103" i="21" s="1"/>
  <c r="R104" i="21" s="1"/>
  <c r="S104" i="21" s="1"/>
  <c r="T104" i="21" s="1"/>
  <c r="AW106" i="21"/>
  <c r="AX106" i="21" s="1"/>
  <c r="BX106" i="21"/>
  <c r="BY106" i="21" s="1"/>
  <c r="BU107" i="21" s="1"/>
  <c r="BV107" i="21" s="1"/>
  <c r="BW107" i="21" s="1"/>
  <c r="AC104" i="21"/>
  <c r="AD104" i="21" s="1"/>
  <c r="AH104" i="21"/>
  <c r="AI104" i="21" s="1"/>
  <c r="X104" i="21"/>
  <c r="Y104" i="21" s="1"/>
  <c r="Z104" i="21"/>
  <c r="O103" i="21"/>
  <c r="P103" i="21" s="1"/>
  <c r="Q103" i="21" s="1"/>
  <c r="AR103" i="21"/>
  <c r="BG106" i="21"/>
  <c r="CA106" i="21" s="1"/>
  <c r="BI106" i="21"/>
  <c r="BS106" i="21"/>
  <c r="BT106" i="21" s="1"/>
  <c r="BP107" i="21" s="1"/>
  <c r="BQ107" i="21" s="1"/>
  <c r="BR107" i="21" s="1"/>
  <c r="AT106" i="21"/>
  <c r="BM106" i="21"/>
  <c r="W110" i="19"/>
  <c r="T111" i="19"/>
  <c r="K111" i="19"/>
  <c r="BH106" i="21" l="1"/>
  <c r="M104" i="21"/>
  <c r="AO104" i="21" s="1"/>
  <c r="AP104" i="21" s="1"/>
  <c r="AL105" i="21" s="1"/>
  <c r="K104" i="21"/>
  <c r="AA104" i="21"/>
  <c r="W105" i="21" s="1"/>
  <c r="X105" i="21" s="1"/>
  <c r="Y105" i="21" s="1"/>
  <c r="BJ106" i="21"/>
  <c r="BF107" i="21" s="1"/>
  <c r="AU106" i="21"/>
  <c r="BZ106" i="21"/>
  <c r="BD106" i="21" s="1"/>
  <c r="BE106" i="21" s="1"/>
  <c r="BA107" i="21" s="1"/>
  <c r="P111" i="19"/>
  <c r="Y111" i="19"/>
  <c r="L111" i="19"/>
  <c r="U111" i="19"/>
  <c r="AY106" i="21" l="1"/>
  <c r="AZ106" i="21" s="1"/>
  <c r="AV107" i="21" s="1"/>
  <c r="BB107" i="21"/>
  <c r="BC107" i="21" s="1"/>
  <c r="AM105" i="21"/>
  <c r="AN105" i="21" s="1"/>
  <c r="AQ104" i="21"/>
  <c r="U104" i="21" s="1"/>
  <c r="V104" i="21" s="1"/>
  <c r="R105" i="21" s="1"/>
  <c r="L104" i="21"/>
  <c r="N104" i="21"/>
  <c r="AJ104" i="21"/>
  <c r="AK104" i="21" s="1"/>
  <c r="AG105" i="21" s="1"/>
  <c r="AE104" i="21"/>
  <c r="AF104" i="21" s="1"/>
  <c r="AB105" i="21" s="1"/>
  <c r="BG107" i="21"/>
  <c r="BH107" i="21" s="1"/>
  <c r="BN106" i="21"/>
  <c r="BO106" i="21" s="1"/>
  <c r="AT107" i="21" s="1"/>
  <c r="M111" i="19"/>
  <c r="O111" i="19" s="1"/>
  <c r="J112" i="19" s="1"/>
  <c r="V111" i="19"/>
  <c r="X111" i="19" s="1"/>
  <c r="S112" i="19" s="1"/>
  <c r="AW107" i="21" l="1"/>
  <c r="AX107" i="21" s="1"/>
  <c r="BK107" i="21"/>
  <c r="BX107" i="21" s="1"/>
  <c r="BY107" i="21" s="1"/>
  <c r="BU108" i="21" s="1"/>
  <c r="AH105" i="21"/>
  <c r="AI105" i="21" s="1"/>
  <c r="O104" i="21"/>
  <c r="P104" i="21" s="1"/>
  <c r="Q104" i="21" s="1"/>
  <c r="AR104" i="21"/>
  <c r="AC105" i="21"/>
  <c r="AD105" i="21" s="1"/>
  <c r="S105" i="21"/>
  <c r="T105" i="21" s="1"/>
  <c r="BZ107" i="21"/>
  <c r="BD107" i="21" s="1"/>
  <c r="BE107" i="21" s="1"/>
  <c r="AU107" i="21"/>
  <c r="N111" i="19"/>
  <c r="W111" i="19"/>
  <c r="T112" i="19"/>
  <c r="U112" i="19"/>
  <c r="K112" i="19"/>
  <c r="L112" i="19" s="1"/>
  <c r="M112" i="19" s="1"/>
  <c r="BI107" i="21" l="1"/>
  <c r="BJ107" i="21" s="1"/>
  <c r="BF108" i="21" s="1"/>
  <c r="BG108" i="21" s="1"/>
  <c r="BH108" i="21" s="1"/>
  <c r="AY107" i="21"/>
  <c r="AZ107" i="21" s="1"/>
  <c r="AV108" i="21" s="1"/>
  <c r="BS107" i="21"/>
  <c r="BT107" i="21" s="1"/>
  <c r="BP108" i="21" s="1"/>
  <c r="BQ108" i="21" s="1"/>
  <c r="BR108" i="21" s="1"/>
  <c r="BL107" i="21"/>
  <c r="CA107" i="21" s="1"/>
  <c r="BV108" i="21"/>
  <c r="BW108" i="21" s="1"/>
  <c r="M105" i="21"/>
  <c r="K105" i="21"/>
  <c r="BA108" i="21"/>
  <c r="BB108" i="21" s="1"/>
  <c r="N112" i="19"/>
  <c r="P112" i="19"/>
  <c r="O112" i="19"/>
  <c r="J113" i="19" s="1"/>
  <c r="V112" i="19"/>
  <c r="X112" i="19" s="1"/>
  <c r="S113" i="19" s="1"/>
  <c r="Y112" i="19"/>
  <c r="AO105" i="21" l="1"/>
  <c r="AP105" i="21" s="1"/>
  <c r="AL106" i="21" s="1"/>
  <c r="AM106" i="21" s="1"/>
  <c r="AN106" i="21" s="1"/>
  <c r="AW108" i="21"/>
  <c r="AX108" i="21" s="1"/>
  <c r="BM107" i="21"/>
  <c r="L105" i="21"/>
  <c r="AQ105" i="21"/>
  <c r="Z105" i="21" s="1"/>
  <c r="AA105" i="21" s="1"/>
  <c r="W106" i="21" s="1"/>
  <c r="N105" i="21"/>
  <c r="AR105" i="21" s="1"/>
  <c r="AE105" i="21"/>
  <c r="AF105" i="21" s="1"/>
  <c r="AB106" i="21" s="1"/>
  <c r="BN107" i="21"/>
  <c r="BC108" i="21"/>
  <c r="T113" i="19"/>
  <c r="Y113" i="19" s="1"/>
  <c r="W112" i="19"/>
  <c r="K113" i="19"/>
  <c r="P113" i="19" s="1"/>
  <c r="AJ105" i="21" l="1"/>
  <c r="AK105" i="21" s="1"/>
  <c r="AG106" i="21" s="1"/>
  <c r="BO107" i="21"/>
  <c r="U105" i="21"/>
  <c r="V105" i="21" s="1"/>
  <c r="R106" i="21" s="1"/>
  <c r="O105" i="21"/>
  <c r="P105" i="21" s="1"/>
  <c r="Q105" i="21" s="1"/>
  <c r="M106" i="21" s="1"/>
  <c r="AH106" i="21"/>
  <c r="AI106" i="21" s="1"/>
  <c r="AC106" i="21"/>
  <c r="AD106" i="21" s="1"/>
  <c r="X106" i="21"/>
  <c r="Y106" i="21" s="1"/>
  <c r="Z106" i="21"/>
  <c r="BK108" i="21"/>
  <c r="AT108" i="21"/>
  <c r="L113" i="19"/>
  <c r="U113" i="19"/>
  <c r="S106" i="21" l="1"/>
  <c r="T106" i="21" s="1"/>
  <c r="BX108" i="21"/>
  <c r="BY108" i="21" s="1"/>
  <c r="BU109" i="21" s="1"/>
  <c r="BI108" i="21"/>
  <c r="BJ108" i="21" s="1"/>
  <c r="BF109" i="21" s="1"/>
  <c r="AO106" i="21"/>
  <c r="AP106" i="21" s="1"/>
  <c r="AL107" i="21" s="1"/>
  <c r="AE106" i="21"/>
  <c r="AF106" i="21" s="1"/>
  <c r="AB107" i="21" s="1"/>
  <c r="AC107" i="21" s="1"/>
  <c r="AD107" i="21" s="1"/>
  <c r="K106" i="21"/>
  <c r="L106" i="21" s="1"/>
  <c r="BV109" i="21"/>
  <c r="BW109" i="21" s="1"/>
  <c r="N106" i="21"/>
  <c r="AA106" i="21"/>
  <c r="W107" i="21" s="1"/>
  <c r="BZ108" i="21"/>
  <c r="BD108" i="21" s="1"/>
  <c r="BE108" i="21" s="1"/>
  <c r="AU108" i="21"/>
  <c r="BL108" i="21"/>
  <c r="CA108" i="21" s="1"/>
  <c r="BS108" i="21"/>
  <c r="BT108" i="21" s="1"/>
  <c r="BP109" i="21" s="1"/>
  <c r="V113" i="19"/>
  <c r="X113" i="19" s="1"/>
  <c r="S114" i="19" s="1"/>
  <c r="M113" i="19"/>
  <c r="O113" i="19" s="1"/>
  <c r="J114" i="19" s="1"/>
  <c r="AR106" i="21" l="1"/>
  <c r="AQ106" i="21"/>
  <c r="AY108" i="21"/>
  <c r="AZ108" i="21" s="1"/>
  <c r="AV109" i="21" s="1"/>
  <c r="BG109" i="21"/>
  <c r="BH109" i="21" s="1"/>
  <c r="AM107" i="21"/>
  <c r="AN107" i="21" s="1"/>
  <c r="O106" i="21"/>
  <c r="P106" i="21" s="1"/>
  <c r="Q106" i="21" s="1"/>
  <c r="X107" i="21"/>
  <c r="Y107" i="21"/>
  <c r="Z107" i="21"/>
  <c r="BA109" i="21"/>
  <c r="BQ109" i="21"/>
  <c r="BR109" i="21" s="1"/>
  <c r="BM108" i="21"/>
  <c r="W113" i="19"/>
  <c r="K114" i="19"/>
  <c r="L114" i="19"/>
  <c r="M114" i="19" s="1"/>
  <c r="N113" i="19"/>
  <c r="T114" i="19"/>
  <c r="U114" i="19"/>
  <c r="U106" i="21" l="1"/>
  <c r="V106" i="21" s="1"/>
  <c r="R107" i="21" s="1"/>
  <c r="S107" i="21" s="1"/>
  <c r="AJ106" i="21"/>
  <c r="AK106" i="21" s="1"/>
  <c r="AG107" i="21" s="1"/>
  <c r="AH107" i="21" s="1"/>
  <c r="AI107" i="21" s="1"/>
  <c r="AW109" i="21"/>
  <c r="AX109" i="21" s="1"/>
  <c r="AA107" i="21"/>
  <c r="W108" i="21" s="1"/>
  <c r="Z108" i="21" s="1"/>
  <c r="BB109" i="21"/>
  <c r="BC109" i="21" s="1"/>
  <c r="M107" i="21"/>
  <c r="AO107" i="21" s="1"/>
  <c r="AP107" i="21" s="1"/>
  <c r="AL108" i="21" s="1"/>
  <c r="BN108" i="21"/>
  <c r="BO108" i="21" s="1"/>
  <c r="V114" i="19"/>
  <c r="X114" i="19" s="1"/>
  <c r="S115" i="19" s="1"/>
  <c r="Y114" i="19"/>
  <c r="N114" i="19"/>
  <c r="P114" i="19"/>
  <c r="O114" i="19"/>
  <c r="J115" i="19" s="1"/>
  <c r="K107" i="21" l="1"/>
  <c r="T107" i="21"/>
  <c r="X108" i="21"/>
  <c r="Y108" i="21" s="1"/>
  <c r="AA108" i="21" s="1"/>
  <c r="W109" i="21" s="1"/>
  <c r="X109" i="21" s="1"/>
  <c r="Y109" i="21" s="1"/>
  <c r="AM108" i="21"/>
  <c r="AN108" i="21" s="1"/>
  <c r="N107" i="21"/>
  <c r="AE107" i="21"/>
  <c r="AF107" i="21" s="1"/>
  <c r="AB108" i="21" s="1"/>
  <c r="L107" i="21"/>
  <c r="AQ107" i="21"/>
  <c r="U107" i="21" s="1"/>
  <c r="V107" i="21" s="1"/>
  <c r="R108" i="21" s="1"/>
  <c r="BK109" i="21"/>
  <c r="AT109" i="21"/>
  <c r="W114" i="19"/>
  <c r="T115" i="19"/>
  <c r="K115" i="19"/>
  <c r="AJ107" i="21" l="1"/>
  <c r="AK107" i="21" s="1"/>
  <c r="AG108" i="21" s="1"/>
  <c r="AH108" i="21" s="1"/>
  <c r="AI108" i="21" s="1"/>
  <c r="BX109" i="21"/>
  <c r="BY109" i="21" s="1"/>
  <c r="BU110" i="21" s="1"/>
  <c r="BV110" i="21" s="1"/>
  <c r="BW110" i="21" s="1"/>
  <c r="BI109" i="21"/>
  <c r="BJ109" i="21" s="1"/>
  <c r="BF110" i="21" s="1"/>
  <c r="S108" i="21"/>
  <c r="T108" i="21" s="1"/>
  <c r="AC108" i="21"/>
  <c r="AD108" i="21" s="1"/>
  <c r="O107" i="21"/>
  <c r="P107" i="21" s="1"/>
  <c r="Q107" i="21" s="1"/>
  <c r="AR107" i="21"/>
  <c r="BL109" i="21"/>
  <c r="CA109" i="21" s="1"/>
  <c r="BS109" i="21"/>
  <c r="BT109" i="21" s="1"/>
  <c r="BP110" i="21" s="1"/>
  <c r="AU109" i="21"/>
  <c r="BZ109" i="21"/>
  <c r="BD109" i="21" s="1"/>
  <c r="BE109" i="21" s="1"/>
  <c r="L115" i="19"/>
  <c r="Y115" i="19"/>
  <c r="P115" i="19"/>
  <c r="U115" i="19"/>
  <c r="AY109" i="21" l="1"/>
  <c r="AZ109" i="21" s="1"/>
  <c r="AV110" i="21" s="1"/>
  <c r="BG110" i="21"/>
  <c r="BH110" i="21" s="1"/>
  <c r="M108" i="21"/>
  <c r="K108" i="21"/>
  <c r="BM109" i="21"/>
  <c r="BN109" i="21"/>
  <c r="BQ110" i="21"/>
  <c r="BR110" i="21" s="1"/>
  <c r="BA110" i="21"/>
  <c r="V115" i="19"/>
  <c r="X115" i="19" s="1"/>
  <c r="S116" i="19" s="1"/>
  <c r="M115" i="19"/>
  <c r="O115" i="19" s="1"/>
  <c r="J116" i="19" s="1"/>
  <c r="W115" i="19"/>
  <c r="AO108" i="21" l="1"/>
  <c r="AP108" i="21" s="1"/>
  <c r="AL109" i="21" s="1"/>
  <c r="AM109" i="21" s="1"/>
  <c r="AN109" i="21" s="1"/>
  <c r="AW110" i="21"/>
  <c r="AX110" i="21" s="1"/>
  <c r="L108" i="21"/>
  <c r="AQ108" i="21"/>
  <c r="U108" i="21" s="1"/>
  <c r="V108" i="21" s="1"/>
  <c r="R109" i="21" s="1"/>
  <c r="N108" i="21"/>
  <c r="AE108" i="21"/>
  <c r="AF108" i="21" s="1"/>
  <c r="AB109" i="21" s="1"/>
  <c r="AJ108" i="21"/>
  <c r="AK108" i="21" s="1"/>
  <c r="AG109" i="21" s="1"/>
  <c r="BO109" i="21"/>
  <c r="BK110" i="21" s="1"/>
  <c r="BX110" i="21" s="1"/>
  <c r="BY110" i="21" s="1"/>
  <c r="BU111" i="21" s="1"/>
  <c r="BB110" i="21"/>
  <c r="N115" i="19"/>
  <c r="K116" i="19"/>
  <c r="T116" i="19"/>
  <c r="S109" i="21" l="1"/>
  <c r="T109" i="21" s="1"/>
  <c r="BI110" i="21"/>
  <c r="BJ110" i="21" s="1"/>
  <c r="BF111" i="21" s="1"/>
  <c r="BV111" i="21"/>
  <c r="BW111" i="21" s="1"/>
  <c r="O108" i="21"/>
  <c r="P108" i="21" s="1"/>
  <c r="Q108" i="21" s="1"/>
  <c r="AR108" i="21"/>
  <c r="AH109" i="21"/>
  <c r="AI109" i="21" s="1"/>
  <c r="AC109" i="21"/>
  <c r="AD109" i="21" s="1"/>
  <c r="BL110" i="21"/>
  <c r="BM110" i="21" s="1"/>
  <c r="BS110" i="21"/>
  <c r="BT110" i="21" s="1"/>
  <c r="BP111" i="21" s="1"/>
  <c r="BQ111" i="21" s="1"/>
  <c r="BR111" i="21" s="1"/>
  <c r="AT110" i="21"/>
  <c r="BN110" i="21"/>
  <c r="BC110" i="21"/>
  <c r="Y116" i="19"/>
  <c r="U116" i="19"/>
  <c r="P116" i="19"/>
  <c r="L116" i="19"/>
  <c r="BG111" i="21" l="1"/>
  <c r="BH111" i="21" s="1"/>
  <c r="CA110" i="21"/>
  <c r="BO110" i="21"/>
  <c r="BK111" i="21" s="1"/>
  <c r="BL111" i="21" s="1"/>
  <c r="BM111" i="21" s="1"/>
  <c r="M109" i="21"/>
  <c r="K109" i="21"/>
  <c r="AU110" i="21"/>
  <c r="BZ110" i="21"/>
  <c r="M116" i="19"/>
  <c r="O116" i="19" s="1"/>
  <c r="J117" i="19" s="1"/>
  <c r="V116" i="19"/>
  <c r="X116" i="19" s="1"/>
  <c r="S117" i="19" s="1"/>
  <c r="AO109" i="21" l="1"/>
  <c r="AP109" i="21" s="1"/>
  <c r="AL110" i="21" s="1"/>
  <c r="AM110" i="21" s="1"/>
  <c r="AN110" i="21" s="1"/>
  <c r="BD110" i="21"/>
  <c r="BE110" i="21" s="1"/>
  <c r="BA111" i="21" s="1"/>
  <c r="AY110" i="21"/>
  <c r="AZ110" i="21" s="1"/>
  <c r="AV111" i="21" s="1"/>
  <c r="L109" i="21"/>
  <c r="AQ109" i="21"/>
  <c r="Z109" i="21" s="1"/>
  <c r="AA109" i="21" s="1"/>
  <c r="W110" i="21" s="1"/>
  <c r="N109" i="21"/>
  <c r="AJ109" i="21"/>
  <c r="AK109" i="21" s="1"/>
  <c r="AG110" i="21" s="1"/>
  <c r="AE109" i="21"/>
  <c r="AF109" i="21" s="1"/>
  <c r="AB110" i="21" s="1"/>
  <c r="AC110" i="21" s="1"/>
  <c r="AD110" i="21" s="1"/>
  <c r="N116" i="19"/>
  <c r="W116" i="19"/>
  <c r="T117" i="19"/>
  <c r="U117" i="19"/>
  <c r="V117" i="19" s="1"/>
  <c r="K117" i="19"/>
  <c r="U109" i="21" l="1"/>
  <c r="V109" i="21" s="1"/>
  <c r="R110" i="21" s="1"/>
  <c r="AW111" i="21"/>
  <c r="AX111" i="21" s="1"/>
  <c r="BI111" i="21"/>
  <c r="BJ111" i="21" s="1"/>
  <c r="BF112" i="21" s="1"/>
  <c r="AT111" i="21"/>
  <c r="AU111" i="21" s="1"/>
  <c r="BB111" i="21"/>
  <c r="BX111" i="21"/>
  <c r="BY111" i="21" s="1"/>
  <c r="BU112" i="21" s="1"/>
  <c r="BS111" i="21"/>
  <c r="BT111" i="21" s="1"/>
  <c r="BP112" i="21" s="1"/>
  <c r="BQ112" i="21" s="1"/>
  <c r="BR112" i="21" s="1"/>
  <c r="BZ111" i="21"/>
  <c r="BN111" i="21" s="1"/>
  <c r="BO111" i="21" s="1"/>
  <c r="BK112" i="21" s="1"/>
  <c r="BL112" i="21" s="1"/>
  <c r="BM112" i="21" s="1"/>
  <c r="X110" i="21"/>
  <c r="Y110" i="21" s="1"/>
  <c r="Z110" i="21"/>
  <c r="AH110" i="21"/>
  <c r="AI110" i="21" s="1"/>
  <c r="O109" i="21"/>
  <c r="P109" i="21" s="1"/>
  <c r="Q109" i="21" s="1"/>
  <c r="AR109" i="21"/>
  <c r="P117" i="19"/>
  <c r="L117" i="19"/>
  <c r="W117" i="19"/>
  <c r="Y117" i="19"/>
  <c r="X117" i="19"/>
  <c r="S118" i="19" s="1"/>
  <c r="S110" i="21" l="1"/>
  <c r="T110" i="21" s="1"/>
  <c r="AY111" i="21"/>
  <c r="AZ111" i="21" s="1"/>
  <c r="AV112" i="21" s="1"/>
  <c r="CA111" i="21"/>
  <c r="BG112" i="21"/>
  <c r="BH112" i="21" s="1"/>
  <c r="BC111" i="21"/>
  <c r="AA110" i="21"/>
  <c r="W111" i="21" s="1"/>
  <c r="X111" i="21" s="1"/>
  <c r="BV112" i="21"/>
  <c r="BW112" i="21" s="1"/>
  <c r="M110" i="21"/>
  <c r="AO110" i="21" s="1"/>
  <c r="AP110" i="21" s="1"/>
  <c r="AL111" i="21" s="1"/>
  <c r="K110" i="21"/>
  <c r="BD111" i="21"/>
  <c r="T118" i="19"/>
  <c r="Y118" i="19" s="1"/>
  <c r="M117" i="19"/>
  <c r="N117" i="19" s="1"/>
  <c r="BE111" i="21" l="1"/>
  <c r="AW112" i="21"/>
  <c r="AX112" i="21" s="1"/>
  <c r="Y111" i="21"/>
  <c r="AM111" i="21"/>
  <c r="AN111" i="21" s="1"/>
  <c r="N110" i="21"/>
  <c r="L110" i="21"/>
  <c r="AQ110" i="21"/>
  <c r="AJ110" i="21" s="1"/>
  <c r="AK110" i="21" s="1"/>
  <c r="AG111" i="21" s="1"/>
  <c r="BA112" i="21"/>
  <c r="AT112" i="21"/>
  <c r="AU112" i="21" s="1"/>
  <c r="O117" i="19"/>
  <c r="J118" i="19" s="1"/>
  <c r="U118" i="19"/>
  <c r="AE110" i="21" l="1"/>
  <c r="AF110" i="21" s="1"/>
  <c r="AB111" i="21" s="1"/>
  <c r="U110" i="21"/>
  <c r="V110" i="21" s="1"/>
  <c r="R111" i="21" s="1"/>
  <c r="BI112" i="21"/>
  <c r="BJ112" i="21" s="1"/>
  <c r="BF113" i="21" s="1"/>
  <c r="BB112" i="21"/>
  <c r="BC112" i="21" s="1"/>
  <c r="BS112" i="21"/>
  <c r="BT112" i="21" s="1"/>
  <c r="BP113" i="21" s="1"/>
  <c r="BQ113" i="21" s="1"/>
  <c r="BR113" i="21" s="1"/>
  <c r="BD112" i="21"/>
  <c r="BZ112" i="21"/>
  <c r="BN112" i="21" s="1"/>
  <c r="BO112" i="21" s="1"/>
  <c r="BK113" i="21" s="1"/>
  <c r="BL113" i="21" s="1"/>
  <c r="BM113" i="21" s="1"/>
  <c r="AC111" i="21"/>
  <c r="AD111" i="21" s="1"/>
  <c r="AH111" i="21"/>
  <c r="AI111" i="21" s="1"/>
  <c r="O110" i="21"/>
  <c r="P110" i="21" s="1"/>
  <c r="Q110" i="21" s="1"/>
  <c r="AR110" i="21"/>
  <c r="V118" i="19"/>
  <c r="X118" i="19" s="1"/>
  <c r="S119" i="19" s="1"/>
  <c r="K118" i="19"/>
  <c r="L118" i="19" s="1"/>
  <c r="M118" i="19" s="1"/>
  <c r="CA112" i="21" l="1"/>
  <c r="S111" i="21"/>
  <c r="T111" i="21" s="1"/>
  <c r="BG113" i="21"/>
  <c r="BH113" i="21" s="1"/>
  <c r="AY112" i="21"/>
  <c r="AZ112" i="21" s="1"/>
  <c r="AV113" i="21" s="1"/>
  <c r="BE112" i="21"/>
  <c r="BA113" i="21" s="1"/>
  <c r="BX112" i="21"/>
  <c r="BY112" i="21" s="1"/>
  <c r="BU113" i="21" s="1"/>
  <c r="M111" i="21"/>
  <c r="AO111" i="21" s="1"/>
  <c r="AP111" i="21" s="1"/>
  <c r="AL112" i="21" s="1"/>
  <c r="K111" i="21"/>
  <c r="W118" i="19"/>
  <c r="N118" i="19"/>
  <c r="P118" i="19"/>
  <c r="O118" i="19"/>
  <c r="J119" i="19" s="1"/>
  <c r="T119" i="19"/>
  <c r="U119" i="19"/>
  <c r="AW113" i="21" l="1"/>
  <c r="AX113" i="21" s="1"/>
  <c r="AT113" i="21"/>
  <c r="AU113" i="21" s="1"/>
  <c r="AM112" i="21"/>
  <c r="AN112" i="21" s="1"/>
  <c r="BV113" i="21"/>
  <c r="BW113" i="21" s="1"/>
  <c r="BX113" i="21" s="1"/>
  <c r="BY113" i="21" s="1"/>
  <c r="BU114" i="21" s="1"/>
  <c r="AQ111" i="21"/>
  <c r="Z111" i="21" s="1"/>
  <c r="AA111" i="21" s="1"/>
  <c r="W112" i="21" s="1"/>
  <c r="X112" i="21" s="1"/>
  <c r="Y112" i="21" s="1"/>
  <c r="L111" i="21"/>
  <c r="N111" i="21"/>
  <c r="AE111" i="21"/>
  <c r="AF111" i="21" s="1"/>
  <c r="AB112" i="21" s="1"/>
  <c r="BZ113" i="21"/>
  <c r="BI113" i="21" s="1"/>
  <c r="BJ113" i="21" s="1"/>
  <c r="BF114" i="21" s="1"/>
  <c r="BB113" i="21"/>
  <c r="BD113" i="21"/>
  <c r="BS113" i="21"/>
  <c r="BT113" i="21" s="1"/>
  <c r="BP114" i="21" s="1"/>
  <c r="Y119" i="19"/>
  <c r="V119" i="19"/>
  <c r="X119" i="19" s="1"/>
  <c r="S120" i="19" s="1"/>
  <c r="K119" i="19"/>
  <c r="L119" i="19" s="1"/>
  <c r="M119" i="19" s="1"/>
  <c r="AJ111" i="21" l="1"/>
  <c r="AK111" i="21" s="1"/>
  <c r="AG112" i="21" s="1"/>
  <c r="U111" i="21"/>
  <c r="V111" i="21" s="1"/>
  <c r="R112" i="21" s="1"/>
  <c r="AY113" i="21"/>
  <c r="AZ113" i="21" s="1"/>
  <c r="AV114" i="21" s="1"/>
  <c r="BV114" i="21"/>
  <c r="BW114" i="21" s="1"/>
  <c r="AH112" i="21"/>
  <c r="AI112" i="21" s="1"/>
  <c r="AC112" i="21"/>
  <c r="AD112" i="21" s="1"/>
  <c r="O111" i="21"/>
  <c r="P111" i="21" s="1"/>
  <c r="Q111" i="21" s="1"/>
  <c r="AR111" i="21"/>
  <c r="BN113" i="21"/>
  <c r="BO113" i="21" s="1"/>
  <c r="BK114" i="21" s="1"/>
  <c r="BL114" i="21" s="1"/>
  <c r="BM114" i="21" s="1"/>
  <c r="BC113" i="21"/>
  <c r="BE113" i="21" s="1"/>
  <c r="CA113" i="21"/>
  <c r="BQ114" i="21"/>
  <c r="BR114" i="21" s="1"/>
  <c r="BG114" i="21"/>
  <c r="BH114" i="21" s="1"/>
  <c r="T120" i="19"/>
  <c r="O119" i="19"/>
  <c r="J120" i="19" s="1"/>
  <c r="N119" i="19"/>
  <c r="Y120" i="19"/>
  <c r="W119" i="19"/>
  <c r="P119" i="19"/>
  <c r="S112" i="21" l="1"/>
  <c r="T112" i="21"/>
  <c r="AW114" i="21"/>
  <c r="AX114" i="21" s="1"/>
  <c r="M112" i="21"/>
  <c r="AO112" i="21" s="1"/>
  <c r="AP112" i="21" s="1"/>
  <c r="AL113" i="21" s="1"/>
  <c r="K112" i="21"/>
  <c r="BA114" i="21"/>
  <c r="BI114" i="21" s="1"/>
  <c r="BJ114" i="21" s="1"/>
  <c r="BF115" i="21" s="1"/>
  <c r="BG115" i="21" s="1"/>
  <c r="AT114" i="21"/>
  <c r="K120" i="19"/>
  <c r="L120" i="19" s="1"/>
  <c r="M120" i="19" s="1"/>
  <c r="U120" i="19"/>
  <c r="AM113" i="21" l="1"/>
  <c r="AN113" i="21" s="1"/>
  <c r="L112" i="21"/>
  <c r="AQ112" i="21"/>
  <c r="Z112" i="21" s="1"/>
  <c r="AA112" i="21" s="1"/>
  <c r="W113" i="21" s="1"/>
  <c r="X113" i="21" s="1"/>
  <c r="Y113" i="21" s="1"/>
  <c r="N112" i="21"/>
  <c r="AE112" i="21"/>
  <c r="AF112" i="21" s="1"/>
  <c r="AB113" i="21" s="1"/>
  <c r="AJ112" i="21"/>
  <c r="AK112" i="21" s="1"/>
  <c r="AG113" i="21" s="1"/>
  <c r="BH115" i="21"/>
  <c r="BZ114" i="21"/>
  <c r="BN114" i="21" s="1"/>
  <c r="BO114" i="21" s="1"/>
  <c r="BK115" i="21" s="1"/>
  <c r="AU114" i="21"/>
  <c r="BD114" i="21"/>
  <c r="BB114" i="21"/>
  <c r="CA114" i="21" s="1"/>
  <c r="BS114" i="21"/>
  <c r="BT114" i="21" s="1"/>
  <c r="BP115" i="21" s="1"/>
  <c r="P120" i="19"/>
  <c r="V120" i="19"/>
  <c r="X120" i="19" s="1"/>
  <c r="S121" i="19" s="1"/>
  <c r="N120" i="19"/>
  <c r="O120" i="19"/>
  <c r="J121" i="19" s="1"/>
  <c r="U112" i="21" l="1"/>
  <c r="V112" i="21" s="1"/>
  <c r="R113" i="21" s="1"/>
  <c r="BC114" i="21"/>
  <c r="BE114" i="21" s="1"/>
  <c r="AY114" i="21"/>
  <c r="AZ114" i="21" s="1"/>
  <c r="AV115" i="21" s="1"/>
  <c r="BX114" i="21"/>
  <c r="BY114" i="21" s="1"/>
  <c r="BU115" i="21" s="1"/>
  <c r="AC113" i="21"/>
  <c r="AD113" i="21" s="1"/>
  <c r="O112" i="21"/>
  <c r="P112" i="21" s="1"/>
  <c r="Q112" i="21" s="1"/>
  <c r="AR112" i="21"/>
  <c r="AH113" i="21"/>
  <c r="AI113" i="21" s="1"/>
  <c r="BQ115" i="21"/>
  <c r="BR115" i="21" s="1"/>
  <c r="BL115" i="21"/>
  <c r="BM115" i="21" s="1"/>
  <c r="W120" i="19"/>
  <c r="K121" i="19"/>
  <c r="L121" i="19" s="1"/>
  <c r="M121" i="19" s="1"/>
  <c r="T121" i="19"/>
  <c r="U121" i="19" s="1"/>
  <c r="V121" i="19" s="1"/>
  <c r="S113" i="21" l="1"/>
  <c r="T113" i="21" s="1"/>
  <c r="AW115" i="21"/>
  <c r="AX115" i="21" s="1"/>
  <c r="BV115" i="21"/>
  <c r="BW115" i="21" s="1"/>
  <c r="M113" i="21"/>
  <c r="AO113" i="21" s="1"/>
  <c r="AP113" i="21" s="1"/>
  <c r="AL114" i="21" s="1"/>
  <c r="K113" i="21"/>
  <c r="AT115" i="21"/>
  <c r="BA115" i="21"/>
  <c r="W121" i="19"/>
  <c r="Y121" i="19"/>
  <c r="X121" i="19"/>
  <c r="S122" i="19" s="1"/>
  <c r="O121" i="19"/>
  <c r="J122" i="19" s="1"/>
  <c r="N121" i="19"/>
  <c r="P121" i="19"/>
  <c r="AM114" i="21" l="1"/>
  <c r="AN114" i="21"/>
  <c r="AQ113" i="21"/>
  <c r="L113" i="21"/>
  <c r="N113" i="21"/>
  <c r="AE113" i="21"/>
  <c r="AF113" i="21" s="1"/>
  <c r="AB114" i="21" s="1"/>
  <c r="AJ113" i="21"/>
  <c r="AK113" i="21" s="1"/>
  <c r="AG114" i="21" s="1"/>
  <c r="BD115" i="21"/>
  <c r="BB115" i="21"/>
  <c r="CA115" i="21" s="1"/>
  <c r="BS115" i="21"/>
  <c r="BT115" i="21" s="1"/>
  <c r="BP116" i="21" s="1"/>
  <c r="AU115" i="21"/>
  <c r="BZ115" i="21"/>
  <c r="BI115" i="21" s="1"/>
  <c r="BJ115" i="21" s="1"/>
  <c r="BF116" i="21" s="1"/>
  <c r="K122" i="19"/>
  <c r="L122" i="19" s="1"/>
  <c r="M122" i="19" s="1"/>
  <c r="T122" i="19"/>
  <c r="U122" i="19" s="1"/>
  <c r="Z113" i="21" l="1"/>
  <c r="AA113" i="21" s="1"/>
  <c r="W114" i="21" s="1"/>
  <c r="X114" i="21" s="1"/>
  <c r="Y114" i="21" s="1"/>
  <c r="U113" i="21"/>
  <c r="V113" i="21" s="1"/>
  <c r="R114" i="21" s="1"/>
  <c r="BC115" i="21"/>
  <c r="BE115" i="21" s="1"/>
  <c r="BA116" i="21" s="1"/>
  <c r="AY115" i="21"/>
  <c r="AZ115" i="21" s="1"/>
  <c r="AV116" i="21" s="1"/>
  <c r="BX115" i="21"/>
  <c r="BY115" i="21" s="1"/>
  <c r="BU116" i="21" s="1"/>
  <c r="AC114" i="21"/>
  <c r="AD114" i="21" s="1"/>
  <c r="O113" i="21"/>
  <c r="P113" i="21" s="1"/>
  <c r="Q113" i="21" s="1"/>
  <c r="AR113" i="21"/>
  <c r="AH114" i="21"/>
  <c r="AI114" i="21" s="1"/>
  <c r="BG116" i="21"/>
  <c r="BH116" i="21"/>
  <c r="BN115" i="21"/>
  <c r="BO115" i="21" s="1"/>
  <c r="BK116" i="21" s="1"/>
  <c r="BQ116" i="21"/>
  <c r="BR116" i="21" s="1"/>
  <c r="P122" i="19"/>
  <c r="Y122" i="19"/>
  <c r="V122" i="19"/>
  <c r="X122" i="19" s="1"/>
  <c r="S123" i="19" s="1"/>
  <c r="N122" i="19"/>
  <c r="O122" i="19"/>
  <c r="J123" i="19" s="1"/>
  <c r="S114" i="21" l="1"/>
  <c r="T114" i="21" s="1"/>
  <c r="AW116" i="21"/>
  <c r="AX116" i="21" s="1"/>
  <c r="BV116" i="21"/>
  <c r="BW116" i="21" s="1"/>
  <c r="M114" i="21"/>
  <c r="AO114" i="21" s="1"/>
  <c r="AP114" i="21" s="1"/>
  <c r="AL115" i="21" s="1"/>
  <c r="K114" i="21"/>
  <c r="AT116" i="21"/>
  <c r="BZ116" i="21" s="1"/>
  <c r="BI116" i="21" s="1"/>
  <c r="BJ116" i="21" s="1"/>
  <c r="BF117" i="21" s="1"/>
  <c r="BB116" i="21"/>
  <c r="BC116" i="21" s="1"/>
  <c r="BD116" i="21"/>
  <c r="BS116" i="21"/>
  <c r="BT116" i="21" s="1"/>
  <c r="BP117" i="21" s="1"/>
  <c r="BL116" i="21"/>
  <c r="BM116" i="21" s="1"/>
  <c r="T123" i="19"/>
  <c r="U123" i="19" s="1"/>
  <c r="V123" i="19" s="1"/>
  <c r="K123" i="19"/>
  <c r="L123" i="19" s="1"/>
  <c r="M123" i="19" s="1"/>
  <c r="W122" i="19"/>
  <c r="AY116" i="21" l="1"/>
  <c r="AZ116" i="21" s="1"/>
  <c r="AV117" i="21" s="1"/>
  <c r="BX116" i="21"/>
  <c r="BY116" i="21" s="1"/>
  <c r="BU117" i="21" s="1"/>
  <c r="BV117" i="21" s="1"/>
  <c r="BW117" i="21" s="1"/>
  <c r="AM115" i="21"/>
  <c r="AN115" i="21" s="1"/>
  <c r="BE116" i="21"/>
  <c r="BA117" i="21" s="1"/>
  <c r="L114" i="21"/>
  <c r="AQ114" i="21"/>
  <c r="Z114" i="21" s="1"/>
  <c r="AA114" i="21" s="1"/>
  <c r="W115" i="21" s="1"/>
  <c r="N114" i="21"/>
  <c r="AJ114" i="21"/>
  <c r="AK114" i="21" s="1"/>
  <c r="AG115" i="21" s="1"/>
  <c r="AE114" i="21"/>
  <c r="AF114" i="21" s="1"/>
  <c r="AB115" i="21" s="1"/>
  <c r="AC115" i="21" s="1"/>
  <c r="AD115" i="21" s="1"/>
  <c r="AU116" i="21"/>
  <c r="BN116" i="21"/>
  <c r="BO116" i="21" s="1"/>
  <c r="BG117" i="21"/>
  <c r="BH117" i="21" s="1"/>
  <c r="BQ117" i="21"/>
  <c r="BR117" i="21" s="1"/>
  <c r="CA116" i="21"/>
  <c r="O123" i="19"/>
  <c r="J124" i="19" s="1"/>
  <c r="N123" i="19"/>
  <c r="P123" i="19"/>
  <c r="W123" i="19"/>
  <c r="X123" i="19"/>
  <c r="S124" i="19" s="1"/>
  <c r="Y123" i="19"/>
  <c r="U114" i="21" l="1"/>
  <c r="V114" i="21" s="1"/>
  <c r="R115" i="21" s="1"/>
  <c r="AW117" i="21"/>
  <c r="AX117" i="21" s="1"/>
  <c r="AH115" i="21"/>
  <c r="AI115" i="21" s="1"/>
  <c r="O114" i="21"/>
  <c r="P114" i="21" s="1"/>
  <c r="Q114" i="21" s="1"/>
  <c r="AR114" i="21"/>
  <c r="X115" i="21"/>
  <c r="Y115" i="21" s="1"/>
  <c r="Z115" i="21"/>
  <c r="BK117" i="21"/>
  <c r="BI117" i="21" s="1"/>
  <c r="BJ117" i="21" s="1"/>
  <c r="BF118" i="21" s="1"/>
  <c r="BG118" i="21" s="1"/>
  <c r="AT117" i="21"/>
  <c r="BB117" i="21"/>
  <c r="BC117" i="21" s="1"/>
  <c r="T124" i="19"/>
  <c r="K124" i="19"/>
  <c r="P124" i="19" s="1"/>
  <c r="S115" i="21" l="1"/>
  <c r="T115" i="21" s="1"/>
  <c r="BD117" i="21"/>
  <c r="BE117" i="21" s="1"/>
  <c r="BA118" i="21" s="1"/>
  <c r="AA115" i="21"/>
  <c r="W116" i="21" s="1"/>
  <c r="X116" i="21" s="1"/>
  <c r="BH118" i="21"/>
  <c r="M115" i="21"/>
  <c r="AO115" i="21" s="1"/>
  <c r="AP115" i="21" s="1"/>
  <c r="AL116" i="21" s="1"/>
  <c r="K115" i="21"/>
  <c r="AU117" i="21"/>
  <c r="BZ117" i="21"/>
  <c r="BX117" i="21" s="1"/>
  <c r="BY117" i="21" s="1"/>
  <c r="BU118" i="21" s="1"/>
  <c r="BL117" i="21"/>
  <c r="CA117" i="21" s="1"/>
  <c r="BS117" i="21"/>
  <c r="BT117" i="21" s="1"/>
  <c r="BP118" i="21" s="1"/>
  <c r="L124" i="19"/>
  <c r="M124" i="19" s="1"/>
  <c r="O124" i="19" s="1"/>
  <c r="J125" i="19" s="1"/>
  <c r="K125" i="19" s="1"/>
  <c r="U124" i="19"/>
  <c r="Y124" i="19"/>
  <c r="Y116" i="21" l="1"/>
  <c r="AY117" i="21"/>
  <c r="AZ117" i="21" s="1"/>
  <c r="AV118" i="21" s="1"/>
  <c r="BV118" i="21"/>
  <c r="BW118" i="21" s="1"/>
  <c r="AM116" i="21"/>
  <c r="AN116" i="21" s="1"/>
  <c r="L115" i="21"/>
  <c r="AQ115" i="21"/>
  <c r="AE115" i="21" s="1"/>
  <c r="AF115" i="21" s="1"/>
  <c r="AB116" i="21" s="1"/>
  <c r="N115" i="21"/>
  <c r="AR115" i="21" s="1"/>
  <c r="BM117" i="21"/>
  <c r="BQ118" i="21"/>
  <c r="BR118" i="21" s="1"/>
  <c r="BB118" i="21"/>
  <c r="BC118" i="21" s="1"/>
  <c r="P125" i="19"/>
  <c r="L125" i="19"/>
  <c r="M125" i="19" s="1"/>
  <c r="N125" i="19" s="1"/>
  <c r="N124" i="19"/>
  <c r="V124" i="19"/>
  <c r="X124" i="19" s="1"/>
  <c r="S125" i="19" s="1"/>
  <c r="AJ115" i="21" l="1"/>
  <c r="AK115" i="21" s="1"/>
  <c r="AG116" i="21" s="1"/>
  <c r="AH116" i="21" s="1"/>
  <c r="AI116" i="21" s="1"/>
  <c r="U115" i="21"/>
  <c r="V115" i="21" s="1"/>
  <c r="R116" i="21" s="1"/>
  <c r="AW118" i="21"/>
  <c r="AX118" i="21" s="1"/>
  <c r="O115" i="21"/>
  <c r="P115" i="21"/>
  <c r="AC116" i="21"/>
  <c r="AD116" i="21" s="1"/>
  <c r="BN117" i="21"/>
  <c r="BO117" i="21" s="1"/>
  <c r="O125" i="19"/>
  <c r="J126" i="19" s="1"/>
  <c r="K126" i="19" s="1"/>
  <c r="T125" i="19"/>
  <c r="U125" i="19"/>
  <c r="V125" i="19" s="1"/>
  <c r="W124" i="19"/>
  <c r="Q115" i="21" l="1"/>
  <c r="S116" i="21"/>
  <c r="T116" i="21" s="1"/>
  <c r="K116" i="21"/>
  <c r="M116" i="21"/>
  <c r="AO116" i="21" s="1"/>
  <c r="AP116" i="21" s="1"/>
  <c r="AL117" i="21" s="1"/>
  <c r="BK118" i="21"/>
  <c r="AT118" i="21"/>
  <c r="W125" i="19"/>
  <c r="Y125" i="19"/>
  <c r="X125" i="19"/>
  <c r="S126" i="19" s="1"/>
  <c r="P126" i="19"/>
  <c r="L126" i="19"/>
  <c r="BD118" i="21" l="1"/>
  <c r="BE118" i="21" s="1"/>
  <c r="BA119" i="21" s="1"/>
  <c r="BB119" i="21" s="1"/>
  <c r="BC119" i="21" s="1"/>
  <c r="BI118" i="21"/>
  <c r="BJ118" i="21" s="1"/>
  <c r="BF119" i="21" s="1"/>
  <c r="AM117" i="21"/>
  <c r="AN117" i="21" s="1"/>
  <c r="N116" i="21"/>
  <c r="AR116" i="21" s="1"/>
  <c r="AE116" i="21"/>
  <c r="AF116" i="21" s="1"/>
  <c r="AB117" i="21" s="1"/>
  <c r="AQ116" i="21"/>
  <c r="Z116" i="21" s="1"/>
  <c r="AA116" i="21" s="1"/>
  <c r="W117" i="21" s="1"/>
  <c r="L116" i="21"/>
  <c r="AU118" i="21"/>
  <c r="BZ118" i="21"/>
  <c r="BX118" i="21" s="1"/>
  <c r="BY118" i="21" s="1"/>
  <c r="BU119" i="21" s="1"/>
  <c r="BL118" i="21"/>
  <c r="CA118" i="21" s="1"/>
  <c r="BS118" i="21"/>
  <c r="BT118" i="21" s="1"/>
  <c r="BP119" i="21" s="1"/>
  <c r="T126" i="19"/>
  <c r="U126" i="19" s="1"/>
  <c r="M126" i="19"/>
  <c r="O126" i="19" s="1"/>
  <c r="J127" i="19" s="1"/>
  <c r="U116" i="21" l="1"/>
  <c r="V116" i="21" s="1"/>
  <c r="R117" i="21" s="1"/>
  <c r="BG119" i="21"/>
  <c r="BH119" i="21"/>
  <c r="AY118" i="21"/>
  <c r="AZ118" i="21" s="1"/>
  <c r="AV119" i="21" s="1"/>
  <c r="AJ116" i="21"/>
  <c r="AK116" i="21" s="1"/>
  <c r="AG117" i="21" s="1"/>
  <c r="AH117" i="21" s="1"/>
  <c r="AI117" i="21" s="1"/>
  <c r="BV119" i="21"/>
  <c r="BW119" i="21" s="1"/>
  <c r="O116" i="21"/>
  <c r="P116" i="21" s="1"/>
  <c r="Q116" i="21" s="1"/>
  <c r="BM118" i="21"/>
  <c r="BN118" i="21" s="1"/>
  <c r="BO118" i="21" s="1"/>
  <c r="AC117" i="21"/>
  <c r="AD117" i="21" s="1"/>
  <c r="X117" i="21"/>
  <c r="Y117" i="21" s="1"/>
  <c r="Z117" i="21"/>
  <c r="BQ119" i="21"/>
  <c r="BR119" i="21" s="1"/>
  <c r="K127" i="19"/>
  <c r="L127" i="19"/>
  <c r="M127" i="19" s="1"/>
  <c r="V126" i="19"/>
  <c r="X126" i="19" s="1"/>
  <c r="S127" i="19" s="1"/>
  <c r="N126" i="19"/>
  <c r="Y126" i="19"/>
  <c r="S117" i="21" l="1"/>
  <c r="T117" i="21" s="1"/>
  <c r="AW119" i="21"/>
  <c r="AX119" i="21" s="1"/>
  <c r="AA117" i="21"/>
  <c r="W118" i="21" s="1"/>
  <c r="X118" i="21" s="1"/>
  <c r="Y118" i="21" s="1"/>
  <c r="M117" i="21"/>
  <c r="AO117" i="21" s="1"/>
  <c r="AP117" i="21" s="1"/>
  <c r="AL118" i="21" s="1"/>
  <c r="K117" i="21"/>
  <c r="BK119" i="21"/>
  <c r="BI119" i="21" s="1"/>
  <c r="BJ119" i="21" s="1"/>
  <c r="BF120" i="21" s="1"/>
  <c r="AT119" i="21"/>
  <c r="W126" i="19"/>
  <c r="T127" i="19"/>
  <c r="U127" i="19"/>
  <c r="V127" i="19" s="1"/>
  <c r="O127" i="19"/>
  <c r="J128" i="19" s="1"/>
  <c r="N127" i="19"/>
  <c r="P127" i="19"/>
  <c r="Y127" i="19"/>
  <c r="BD119" i="21" l="1"/>
  <c r="BE119" i="21" s="1"/>
  <c r="BA120" i="21" s="1"/>
  <c r="BB120" i="21" s="1"/>
  <c r="BC120" i="21" s="1"/>
  <c r="BG120" i="21"/>
  <c r="BH120" i="21" s="1"/>
  <c r="Z118" i="21"/>
  <c r="AM118" i="21"/>
  <c r="AN118" i="21" s="1"/>
  <c r="AA118" i="21"/>
  <c r="W119" i="21" s="1"/>
  <c r="X119" i="21" s="1"/>
  <c r="Y119" i="21" s="1"/>
  <c r="AQ117" i="21"/>
  <c r="U117" i="21" s="1"/>
  <c r="V117" i="21" s="1"/>
  <c r="R118" i="21" s="1"/>
  <c r="L117" i="21"/>
  <c r="N117" i="21"/>
  <c r="AR117" i="21" s="1"/>
  <c r="AE117" i="21"/>
  <c r="AF117" i="21" s="1"/>
  <c r="AB118" i="21" s="1"/>
  <c r="AC118" i="21" s="1"/>
  <c r="AD118" i="21" s="1"/>
  <c r="BZ119" i="21"/>
  <c r="BX119" i="21" s="1"/>
  <c r="BY119" i="21" s="1"/>
  <c r="BU120" i="21" s="1"/>
  <c r="AU119" i="21"/>
  <c r="BL119" i="21"/>
  <c r="CA119" i="21" s="1"/>
  <c r="BS119" i="21"/>
  <c r="BT119" i="21" s="1"/>
  <c r="BP120" i="21" s="1"/>
  <c r="K128" i="19"/>
  <c r="P128" i="19" s="1"/>
  <c r="L128" i="19"/>
  <c r="M128" i="19" s="1"/>
  <c r="W127" i="19"/>
  <c r="X127" i="19"/>
  <c r="S128" i="19" s="1"/>
  <c r="AJ117" i="21" l="1"/>
  <c r="AK117" i="21" s="1"/>
  <c r="AG118" i="21" s="1"/>
  <c r="S118" i="21"/>
  <c r="T118" i="21" s="1"/>
  <c r="AY119" i="21"/>
  <c r="AZ119" i="21" s="1"/>
  <c r="AV120" i="21" s="1"/>
  <c r="BV120" i="21"/>
  <c r="BW120" i="21" s="1"/>
  <c r="Z119" i="21"/>
  <c r="AA119" i="21" s="1"/>
  <c r="W120" i="21" s="1"/>
  <c r="O117" i="21"/>
  <c r="P117" i="21" s="1"/>
  <c r="AH118" i="21"/>
  <c r="AI118" i="21" s="1"/>
  <c r="BM119" i="21"/>
  <c r="BN119" i="21" s="1"/>
  <c r="BO119" i="21" s="1"/>
  <c r="BQ120" i="21"/>
  <c r="BR120" i="21" s="1"/>
  <c r="T128" i="19"/>
  <c r="N128" i="19"/>
  <c r="O128" i="19"/>
  <c r="J129" i="19" s="1"/>
  <c r="Z120" i="21" l="1"/>
  <c r="X120" i="21"/>
  <c r="Y120" i="21" s="1"/>
  <c r="AA120" i="21" s="1"/>
  <c r="W121" i="21" s="1"/>
  <c r="AW120" i="21"/>
  <c r="AX120" i="21" s="1"/>
  <c r="Q117" i="21"/>
  <c r="M118" i="21" s="1"/>
  <c r="BK120" i="21"/>
  <c r="BD120" i="21" s="1"/>
  <c r="BE120" i="21" s="1"/>
  <c r="BA121" i="21" s="1"/>
  <c r="AT120" i="21"/>
  <c r="K129" i="19"/>
  <c r="L129" i="19" s="1"/>
  <c r="M129" i="19" s="1"/>
  <c r="Y128" i="19"/>
  <c r="U128" i="19"/>
  <c r="AO118" i="21" l="1"/>
  <c r="AP118" i="21" s="1"/>
  <c r="AL119" i="21" s="1"/>
  <c r="AM119" i="21" s="1"/>
  <c r="AN119" i="21" s="1"/>
  <c r="BI120" i="21"/>
  <c r="BJ120" i="21" s="1"/>
  <c r="BF121" i="21" s="1"/>
  <c r="X121" i="21"/>
  <c r="Y121" i="21" s="1"/>
  <c r="Z121" i="21"/>
  <c r="BG121" i="21"/>
  <c r="BH121" i="21" s="1"/>
  <c r="K118" i="21"/>
  <c r="L118" i="21" s="1"/>
  <c r="N118" i="21"/>
  <c r="AR118" i="21" s="1"/>
  <c r="BB121" i="21"/>
  <c r="BC121" i="21" s="1"/>
  <c r="BZ120" i="21"/>
  <c r="BX120" i="21" s="1"/>
  <c r="BY120" i="21" s="1"/>
  <c r="BU121" i="21" s="1"/>
  <c r="AU120" i="21"/>
  <c r="BL120" i="21"/>
  <c r="CA120" i="21" s="1"/>
  <c r="BS120" i="21"/>
  <c r="BT120" i="21" s="1"/>
  <c r="BP121" i="21" s="1"/>
  <c r="V128" i="19"/>
  <c r="X128" i="19"/>
  <c r="S129" i="19" s="1"/>
  <c r="W128" i="19"/>
  <c r="O129" i="19"/>
  <c r="J130" i="19" s="1"/>
  <c r="N129" i="19"/>
  <c r="P129" i="19"/>
  <c r="AA121" i="21" l="1"/>
  <c r="W122" i="21" s="1"/>
  <c r="X122" i="21" s="1"/>
  <c r="AQ118" i="21"/>
  <c r="AJ118" i="21" s="1"/>
  <c r="AK118" i="21" s="1"/>
  <c r="AG119" i="21" s="1"/>
  <c r="AH119" i="21" s="1"/>
  <c r="AI119" i="21" s="1"/>
  <c r="AY120" i="21"/>
  <c r="AZ120" i="21" s="1"/>
  <c r="AV121" i="21" s="1"/>
  <c r="BV121" i="21"/>
  <c r="BW121" i="21" s="1"/>
  <c r="O118" i="21"/>
  <c r="BM120" i="21"/>
  <c r="BN120" i="21" s="1"/>
  <c r="BO120" i="21" s="1"/>
  <c r="BQ121" i="21"/>
  <c r="BR121" i="21" s="1"/>
  <c r="K130" i="19"/>
  <c r="L130" i="19" s="1"/>
  <c r="T129" i="19"/>
  <c r="Y122" i="21" l="1"/>
  <c r="AE118" i="21"/>
  <c r="AF118" i="21" s="1"/>
  <c r="AB119" i="21" s="1"/>
  <c r="AC119" i="21" s="1"/>
  <c r="AD119" i="21" s="1"/>
  <c r="U118" i="21"/>
  <c r="V118" i="21" s="1"/>
  <c r="R119" i="21" s="1"/>
  <c r="AW121" i="21"/>
  <c r="AX121" i="21" s="1"/>
  <c r="P118" i="21"/>
  <c r="Q118" i="21" s="1"/>
  <c r="BK121" i="21"/>
  <c r="BD121" i="21" s="1"/>
  <c r="BE121" i="21" s="1"/>
  <c r="BA122" i="21" s="1"/>
  <c r="AT121" i="21"/>
  <c r="M130" i="19"/>
  <c r="O130" i="19" s="1"/>
  <c r="J131" i="19" s="1"/>
  <c r="Y129" i="19"/>
  <c r="U129" i="19"/>
  <c r="P130" i="19"/>
  <c r="S119" i="21" l="1"/>
  <c r="T119" i="21" s="1"/>
  <c r="BI121" i="21"/>
  <c r="BJ121" i="21" s="1"/>
  <c r="BF122" i="21" s="1"/>
  <c r="BG122" i="21" s="1"/>
  <c r="BB122" i="21"/>
  <c r="BC122" i="21" s="1"/>
  <c r="M119" i="21"/>
  <c r="AO119" i="21" s="1"/>
  <c r="AP119" i="21" s="1"/>
  <c r="AL120" i="21" s="1"/>
  <c r="K119" i="21"/>
  <c r="AU121" i="21"/>
  <c r="BZ121" i="21"/>
  <c r="BX121" i="21" s="1"/>
  <c r="BY121" i="21" s="1"/>
  <c r="BU122" i="21" s="1"/>
  <c r="BL121" i="21"/>
  <c r="CA121" i="21" s="1"/>
  <c r="BS121" i="21"/>
  <c r="BT121" i="21" s="1"/>
  <c r="BP122" i="21" s="1"/>
  <c r="N130" i="19"/>
  <c r="V129" i="19"/>
  <c r="W129" i="19" s="1"/>
  <c r="K131" i="19"/>
  <c r="L131" i="19" s="1"/>
  <c r="BH122" i="21" l="1"/>
  <c r="AY121" i="21"/>
  <c r="AZ121" i="21" s="1"/>
  <c r="AV122" i="21" s="1"/>
  <c r="BV122" i="21"/>
  <c r="BW122" i="21" s="1"/>
  <c r="AM120" i="21"/>
  <c r="AN120" i="21" s="1"/>
  <c r="L119" i="21"/>
  <c r="AQ119" i="21"/>
  <c r="AE119" i="21" s="1"/>
  <c r="AF119" i="21" s="1"/>
  <c r="AB120" i="21" s="1"/>
  <c r="AC120" i="21" s="1"/>
  <c r="AD120" i="21" s="1"/>
  <c r="N119" i="21"/>
  <c r="AR119" i="21" s="1"/>
  <c r="BM121" i="21"/>
  <c r="BN121" i="21" s="1"/>
  <c r="BQ122" i="21"/>
  <c r="BR122" i="21" s="1"/>
  <c r="M131" i="19"/>
  <c r="O131" i="19" s="1"/>
  <c r="J132" i="19" s="1"/>
  <c r="X129" i="19"/>
  <c r="S130" i="19" s="1"/>
  <c r="P131" i="19"/>
  <c r="AJ119" i="21" l="1"/>
  <c r="AK119" i="21" s="1"/>
  <c r="AG120" i="21" s="1"/>
  <c r="AH120" i="21" s="1"/>
  <c r="AI120" i="21" s="1"/>
  <c r="U119" i="21"/>
  <c r="V119" i="21" s="1"/>
  <c r="R120" i="21" s="1"/>
  <c r="AW122" i="21"/>
  <c r="AX122" i="21" s="1"/>
  <c r="BO121" i="21"/>
  <c r="AT122" i="21" s="1"/>
  <c r="O119" i="21"/>
  <c r="P119" i="21" s="1"/>
  <c r="N131" i="19"/>
  <c r="K132" i="19"/>
  <c r="P132" i="19" s="1"/>
  <c r="T130" i="19"/>
  <c r="U130" i="19" s="1"/>
  <c r="L132" i="19" l="1"/>
  <c r="S120" i="21"/>
  <c r="T120" i="21" s="1"/>
  <c r="Q119" i="21"/>
  <c r="M120" i="21" s="1"/>
  <c r="AO120" i="21" s="1"/>
  <c r="AP120" i="21" s="1"/>
  <c r="AL121" i="21" s="1"/>
  <c r="BK122" i="21"/>
  <c r="BL122" i="21" s="1"/>
  <c r="CA122" i="21" s="1"/>
  <c r="BZ122" i="21"/>
  <c r="AU122" i="21"/>
  <c r="V130" i="19"/>
  <c r="X130" i="19" s="1"/>
  <c r="S131" i="19" s="1"/>
  <c r="Y130" i="19"/>
  <c r="M132" i="19"/>
  <c r="O132" i="19" s="1"/>
  <c r="J133" i="19" s="1"/>
  <c r="K120" i="21" l="1"/>
  <c r="AQ120" i="21" s="1"/>
  <c r="AE120" i="21" s="1"/>
  <c r="AF120" i="21" s="1"/>
  <c r="AB121" i="21" s="1"/>
  <c r="AC121" i="21" s="1"/>
  <c r="AD121" i="21" s="1"/>
  <c r="BS122" i="21"/>
  <c r="BT122" i="21" s="1"/>
  <c r="BP123" i="21" s="1"/>
  <c r="BQ123" i="21" s="1"/>
  <c r="BR123" i="21" s="1"/>
  <c r="AY122" i="21"/>
  <c r="AZ122" i="21" s="1"/>
  <c r="AV123" i="21" s="1"/>
  <c r="BD122" i="21"/>
  <c r="BE122" i="21" s="1"/>
  <c r="BA123" i="21" s="1"/>
  <c r="BI122" i="21"/>
  <c r="BJ122" i="21" s="1"/>
  <c r="BF123" i="21" s="1"/>
  <c r="AM121" i="21"/>
  <c r="AN121" i="21" s="1"/>
  <c r="BX122" i="21"/>
  <c r="BY122" i="21" s="1"/>
  <c r="BU123" i="21" s="1"/>
  <c r="N120" i="21"/>
  <c r="AR120" i="21" s="1"/>
  <c r="BM122" i="21"/>
  <c r="W130" i="19"/>
  <c r="K133" i="19"/>
  <c r="L133" i="19" s="1"/>
  <c r="M133" i="19" s="1"/>
  <c r="T131" i="19"/>
  <c r="U131" i="19"/>
  <c r="V131" i="19" s="1"/>
  <c r="N132" i="19"/>
  <c r="U120" i="21" l="1"/>
  <c r="V120" i="21" s="1"/>
  <c r="R121" i="21" s="1"/>
  <c r="L120" i="21"/>
  <c r="BG123" i="21"/>
  <c r="BH123" i="21" s="1"/>
  <c r="BB123" i="21"/>
  <c r="BC123" i="21" s="1"/>
  <c r="AW123" i="21"/>
  <c r="AX123" i="21" s="1"/>
  <c r="AJ120" i="21"/>
  <c r="AK120" i="21" s="1"/>
  <c r="AG121" i="21" s="1"/>
  <c r="AH121" i="21" s="1"/>
  <c r="AI121" i="21" s="1"/>
  <c r="BV123" i="21"/>
  <c r="BW123" i="21" s="1"/>
  <c r="O120" i="21"/>
  <c r="P120" i="21" s="1"/>
  <c r="Q120" i="21" s="1"/>
  <c r="BN122" i="21"/>
  <c r="BO122" i="21" s="1"/>
  <c r="O133" i="19"/>
  <c r="J134" i="19" s="1"/>
  <c r="W131" i="19"/>
  <c r="X131" i="19"/>
  <c r="S132" i="19" s="1"/>
  <c r="Y131" i="19"/>
  <c r="N133" i="19"/>
  <c r="P133" i="19"/>
  <c r="S121" i="21" l="1"/>
  <c r="T121" i="21" s="1"/>
  <c r="M121" i="21"/>
  <c r="AO121" i="21" s="1"/>
  <c r="AP121" i="21" s="1"/>
  <c r="AL122" i="21" s="1"/>
  <c r="K121" i="21"/>
  <c r="BK123" i="21"/>
  <c r="AT123" i="21"/>
  <c r="T132" i="19"/>
  <c r="U132" i="19"/>
  <c r="V132" i="19" s="1"/>
  <c r="K134" i="19"/>
  <c r="BD123" i="21" l="1"/>
  <c r="BE123" i="21" s="1"/>
  <c r="BA124" i="21" s="1"/>
  <c r="BI123" i="21"/>
  <c r="BJ123" i="21" s="1"/>
  <c r="BF124" i="21" s="1"/>
  <c r="AM122" i="21"/>
  <c r="AN122" i="21" s="1"/>
  <c r="AQ121" i="21"/>
  <c r="AE121" i="21" s="1"/>
  <c r="AF121" i="21" s="1"/>
  <c r="AB122" i="21" s="1"/>
  <c r="L121" i="21"/>
  <c r="N121" i="21"/>
  <c r="AR121" i="21" s="1"/>
  <c r="AU123" i="21"/>
  <c r="BZ123" i="21"/>
  <c r="BX123" i="21" s="1"/>
  <c r="BY123" i="21" s="1"/>
  <c r="BU124" i="21" s="1"/>
  <c r="BL123" i="21"/>
  <c r="CA123" i="21" s="1"/>
  <c r="BS123" i="21"/>
  <c r="BT123" i="21" s="1"/>
  <c r="BP124" i="21" s="1"/>
  <c r="X132" i="19"/>
  <c r="S133" i="19" s="1"/>
  <c r="W132" i="19"/>
  <c r="Y132" i="19"/>
  <c r="L134" i="19"/>
  <c r="P134" i="19"/>
  <c r="U121" i="21" l="1"/>
  <c r="V121" i="21" s="1"/>
  <c r="R122" i="21" s="1"/>
  <c r="BG124" i="21"/>
  <c r="BH124" i="21" s="1"/>
  <c r="AY123" i="21"/>
  <c r="AZ123" i="21" s="1"/>
  <c r="AV124" i="21" s="1"/>
  <c r="O121" i="21"/>
  <c r="P121" i="21" s="1"/>
  <c r="BB124" i="21"/>
  <c r="BC124" i="21" s="1"/>
  <c r="BV124" i="21"/>
  <c r="BW124" i="21" s="1"/>
  <c r="AJ121" i="21"/>
  <c r="AK121" i="21" s="1"/>
  <c r="AG122" i="21" s="1"/>
  <c r="AH122" i="21" s="1"/>
  <c r="AI122" i="21" s="1"/>
  <c r="AC122" i="21"/>
  <c r="AD122" i="21" s="1"/>
  <c r="BQ124" i="21"/>
  <c r="BR124" i="21" s="1"/>
  <c r="BM123" i="21"/>
  <c r="BN123" i="21" s="1"/>
  <c r="BO123" i="21" s="1"/>
  <c r="M134" i="19"/>
  <c r="O134" i="19" s="1"/>
  <c r="J135" i="19" s="1"/>
  <c r="T133" i="19"/>
  <c r="Y133" i="19" s="1"/>
  <c r="S122" i="21" l="1"/>
  <c r="T122" i="21" s="1"/>
  <c r="Q121" i="21"/>
  <c r="M122" i="21" s="1"/>
  <c r="AE122" i="21" s="1"/>
  <c r="AF122" i="21" s="1"/>
  <c r="AB123" i="21" s="1"/>
  <c r="AW124" i="21"/>
  <c r="AX124" i="21" s="1"/>
  <c r="BK124" i="21"/>
  <c r="BD124" i="21" s="1"/>
  <c r="BE124" i="21" s="1"/>
  <c r="BA125" i="21" s="1"/>
  <c r="AT124" i="21"/>
  <c r="N134" i="19"/>
  <c r="U133" i="19"/>
  <c r="V133" i="19" s="1"/>
  <c r="W133" i="19" s="1"/>
  <c r="K135" i="19"/>
  <c r="AO122" i="21" l="1"/>
  <c r="AP122" i="21" s="1"/>
  <c r="AL123" i="21" s="1"/>
  <c r="N122" i="21"/>
  <c r="AR122" i="21" s="1"/>
  <c r="BB125" i="21"/>
  <c r="BC125" i="21" s="1"/>
  <c r="K122" i="21"/>
  <c r="AM123" i="21"/>
  <c r="AN123" i="21" s="1"/>
  <c r="AC123" i="21"/>
  <c r="AD123" i="21" s="1"/>
  <c r="BZ124" i="21"/>
  <c r="AU124" i="21"/>
  <c r="BL124" i="21"/>
  <c r="CA124" i="21" s="1"/>
  <c r="BS124" i="21"/>
  <c r="BT124" i="21" s="1"/>
  <c r="BP125" i="21" s="1"/>
  <c r="X133" i="19"/>
  <c r="S134" i="19" s="1"/>
  <c r="T134" i="19"/>
  <c r="U134" i="19"/>
  <c r="P135" i="19"/>
  <c r="L135" i="19"/>
  <c r="O122" i="21" l="1"/>
  <c r="BX124" i="21"/>
  <c r="BY124" i="21" s="1"/>
  <c r="BU125" i="21" s="1"/>
  <c r="BV125" i="21" s="1"/>
  <c r="BW125" i="21" s="1"/>
  <c r="AY124" i="21"/>
  <c r="AZ124" i="21" s="1"/>
  <c r="AV125" i="21" s="1"/>
  <c r="BI124" i="21"/>
  <c r="BJ124" i="21" s="1"/>
  <c r="BF125" i="21" s="1"/>
  <c r="L122" i="21"/>
  <c r="AQ122" i="21"/>
  <c r="BM124" i="21"/>
  <c r="BQ125" i="21"/>
  <c r="BR125" i="21" s="1"/>
  <c r="M135" i="19"/>
  <c r="O135" i="19" s="1"/>
  <c r="J136" i="19" s="1"/>
  <c r="V134" i="19"/>
  <c r="X134" i="19" s="1"/>
  <c r="S135" i="19" s="1"/>
  <c r="Y134" i="19"/>
  <c r="U122" i="21" l="1"/>
  <c r="V122" i="21" s="1"/>
  <c r="R123" i="21" s="1"/>
  <c r="S123" i="21" s="1"/>
  <c r="T123" i="21" s="1"/>
  <c r="AJ122" i="21"/>
  <c r="AK122" i="21" s="1"/>
  <c r="AG123" i="21" s="1"/>
  <c r="AH123" i="21" s="1"/>
  <c r="AI123" i="21" s="1"/>
  <c r="AW125" i="21"/>
  <c r="AX125" i="21" s="1"/>
  <c r="Z122" i="21"/>
  <c r="AA122" i="21" s="1"/>
  <c r="W123" i="21" s="1"/>
  <c r="P122" i="21"/>
  <c r="Q122" i="21" s="1"/>
  <c r="BG125" i="21"/>
  <c r="BH125" i="21" s="1"/>
  <c r="BN124" i="21"/>
  <c r="BO124" i="21" s="1"/>
  <c r="W134" i="19"/>
  <c r="N135" i="19"/>
  <c r="T135" i="19"/>
  <c r="U135" i="19"/>
  <c r="V135" i="19" s="1"/>
  <c r="K136" i="19"/>
  <c r="L136" i="19" s="1"/>
  <c r="M123" i="21" l="1"/>
  <c r="K123" i="21"/>
  <c r="Z123" i="21"/>
  <c r="X123" i="21"/>
  <c r="Y123" i="21" s="1"/>
  <c r="BK125" i="21"/>
  <c r="AT125" i="21"/>
  <c r="M136" i="19"/>
  <c r="O136" i="19" s="1"/>
  <c r="J137" i="19" s="1"/>
  <c r="P136" i="19"/>
  <c r="W135" i="19"/>
  <c r="X135" i="19"/>
  <c r="S136" i="19" s="1"/>
  <c r="Y135" i="19"/>
  <c r="AO123" i="21" l="1"/>
  <c r="AP123" i="21" s="1"/>
  <c r="AL124" i="21" s="1"/>
  <c r="AA123" i="21"/>
  <c r="W124" i="21" s="1"/>
  <c r="X124" i="21" s="1"/>
  <c r="BD125" i="21"/>
  <c r="BE125" i="21" s="1"/>
  <c r="BA126" i="21" s="1"/>
  <c r="AQ123" i="21"/>
  <c r="AJ123" i="21" s="1"/>
  <c r="AK123" i="21" s="1"/>
  <c r="AG124" i="21" s="1"/>
  <c r="AH124" i="21" s="1"/>
  <c r="AI124" i="21" s="1"/>
  <c r="L123" i="21"/>
  <c r="N123" i="21"/>
  <c r="AR123" i="21" s="1"/>
  <c r="AE123" i="21"/>
  <c r="AF123" i="21" s="1"/>
  <c r="AB124" i="21" s="1"/>
  <c r="AC124" i="21" s="1"/>
  <c r="AD124" i="21" s="1"/>
  <c r="BX125" i="21"/>
  <c r="BY125" i="21" s="1"/>
  <c r="BU126" i="21" s="1"/>
  <c r="AU125" i="21"/>
  <c r="BZ125" i="21"/>
  <c r="BI125" i="21" s="1"/>
  <c r="BJ125" i="21" s="1"/>
  <c r="BF126" i="21" s="1"/>
  <c r="BL125" i="21"/>
  <c r="CA125" i="21" s="1"/>
  <c r="BS125" i="21"/>
  <c r="BT125" i="21" s="1"/>
  <c r="BP126" i="21" s="1"/>
  <c r="N136" i="19"/>
  <c r="K137" i="19"/>
  <c r="L137" i="19" s="1"/>
  <c r="T136" i="19"/>
  <c r="U136" i="19"/>
  <c r="AM124" i="21" l="1"/>
  <c r="AN124" i="21" s="1"/>
  <c r="U123" i="21"/>
  <c r="V123" i="21" s="1"/>
  <c r="R124" i="21" s="1"/>
  <c r="Z124" i="21"/>
  <c r="Y124" i="21"/>
  <c r="AA124" i="21" s="1"/>
  <c r="W125" i="21" s="1"/>
  <c r="AY125" i="21"/>
  <c r="AZ125" i="21" s="1"/>
  <c r="AV126" i="21" s="1"/>
  <c r="BG126" i="21"/>
  <c r="BH126" i="21" s="1"/>
  <c r="BB126" i="21"/>
  <c r="BC126" i="21" s="1"/>
  <c r="O123" i="21"/>
  <c r="BV126" i="21"/>
  <c r="BW126" i="21" s="1"/>
  <c r="BM125" i="21"/>
  <c r="BN125" i="21" s="1"/>
  <c r="BQ126" i="21"/>
  <c r="BR126" i="21" s="1"/>
  <c r="P137" i="19"/>
  <c r="V136" i="19"/>
  <c r="X136" i="19" s="1"/>
  <c r="S137" i="19" s="1"/>
  <c r="M137" i="19"/>
  <c r="O137" i="19" s="1"/>
  <c r="J138" i="19" s="1"/>
  <c r="W136" i="19"/>
  <c r="Y136" i="19"/>
  <c r="S124" i="21" l="1"/>
  <c r="T124" i="21"/>
  <c r="AW126" i="21"/>
  <c r="AX126" i="21" s="1"/>
  <c r="P123" i="21"/>
  <c r="Q123" i="21" s="1"/>
  <c r="X125" i="21"/>
  <c r="Y125" i="21" s="1"/>
  <c r="Z125" i="21"/>
  <c r="BO125" i="21"/>
  <c r="AT126" i="21" s="1"/>
  <c r="N137" i="19"/>
  <c r="K138" i="19"/>
  <c r="L138" i="19" s="1"/>
  <c r="M138" i="19" s="1"/>
  <c r="T137" i="19"/>
  <c r="AA125" i="21" l="1"/>
  <c r="W126" i="21" s="1"/>
  <c r="M124" i="21"/>
  <c r="K124" i="21"/>
  <c r="Z126" i="21"/>
  <c r="X126" i="21"/>
  <c r="Y126" i="21" s="1"/>
  <c r="AA126" i="21" s="1"/>
  <c r="W127" i="21" s="1"/>
  <c r="BK126" i="21"/>
  <c r="BS126" i="21" s="1"/>
  <c r="BT126" i="21" s="1"/>
  <c r="BP127" i="21" s="1"/>
  <c r="BZ126" i="21"/>
  <c r="AU126" i="21"/>
  <c r="U137" i="19"/>
  <c r="O138" i="19"/>
  <c r="J139" i="19" s="1"/>
  <c r="Y137" i="19"/>
  <c r="N138" i="19"/>
  <c r="P138" i="19"/>
  <c r="AO124" i="21" l="1"/>
  <c r="AP124" i="21" s="1"/>
  <c r="AL125" i="21" s="1"/>
  <c r="AM125" i="21" s="1"/>
  <c r="AN125" i="21" s="1"/>
  <c r="AY126" i="21"/>
  <c r="AZ126" i="21" s="1"/>
  <c r="AV127" i="21" s="1"/>
  <c r="X127" i="21"/>
  <c r="Y127" i="21" s="1"/>
  <c r="Z127" i="21"/>
  <c r="BI126" i="21"/>
  <c r="BJ126" i="21" s="1"/>
  <c r="BF127" i="21" s="1"/>
  <c r="BD126" i="21"/>
  <c r="BE126" i="21" s="1"/>
  <c r="BA127" i="21" s="1"/>
  <c r="L124" i="21"/>
  <c r="AQ124" i="21"/>
  <c r="AJ124" i="21" s="1"/>
  <c r="AK124" i="21" s="1"/>
  <c r="AG125" i="21" s="1"/>
  <c r="AH125" i="21" s="1"/>
  <c r="AI125" i="21" s="1"/>
  <c r="N124" i="21"/>
  <c r="AR124" i="21" s="1"/>
  <c r="AE124" i="21"/>
  <c r="AF124" i="21" s="1"/>
  <c r="AB125" i="21" s="1"/>
  <c r="BX126" i="21"/>
  <c r="BY126" i="21" s="1"/>
  <c r="BU127" i="21" s="1"/>
  <c r="BL126" i="21"/>
  <c r="CA126" i="21" s="1"/>
  <c r="BQ127" i="21"/>
  <c r="BR127" i="21" s="1"/>
  <c r="K139" i="19"/>
  <c r="V137" i="19"/>
  <c r="W137" i="19" s="1"/>
  <c r="AA127" i="21" l="1"/>
  <c r="W128" i="21" s="1"/>
  <c r="U124" i="21"/>
  <c r="V124" i="21" s="1"/>
  <c r="R125" i="21" s="1"/>
  <c r="O124" i="21"/>
  <c r="P124" i="21" s="1"/>
  <c r="AW127" i="21"/>
  <c r="AX127" i="21" s="1"/>
  <c r="BG127" i="21"/>
  <c r="BH127" i="21" s="1"/>
  <c r="AC125" i="21"/>
  <c r="AD125" i="21" s="1"/>
  <c r="X128" i="21"/>
  <c r="Y128" i="21"/>
  <c r="BB127" i="21"/>
  <c r="BC127" i="21" s="1"/>
  <c r="BM126" i="21"/>
  <c r="BV127" i="21"/>
  <c r="BW127" i="21" s="1"/>
  <c r="BN126" i="21"/>
  <c r="X137" i="19"/>
  <c r="S138" i="19" s="1"/>
  <c r="L139" i="19"/>
  <c r="P139" i="19"/>
  <c r="S125" i="21" l="1"/>
  <c r="T125" i="21" s="1"/>
  <c r="BO126" i="21"/>
  <c r="BK127" i="21" s="1"/>
  <c r="Q124" i="21"/>
  <c r="K125" i="21" s="1"/>
  <c r="M139" i="19"/>
  <c r="O139" i="19" s="1"/>
  <c r="J140" i="19" s="1"/>
  <c r="T138" i="19"/>
  <c r="U138" i="19"/>
  <c r="M125" i="21" l="1"/>
  <c r="AT127" i="21"/>
  <c r="BZ127" i="21" s="1"/>
  <c r="BX127" i="21" s="1"/>
  <c r="BY127" i="21" s="1"/>
  <c r="BU128" i="21" s="1"/>
  <c r="BI127" i="21"/>
  <c r="BJ127" i="21" s="1"/>
  <c r="BF128" i="21" s="1"/>
  <c r="AO125" i="21"/>
  <c r="AP125" i="21" s="1"/>
  <c r="AL126" i="21" s="1"/>
  <c r="AM126" i="21" s="1"/>
  <c r="AN126" i="21" s="1"/>
  <c r="N125" i="21"/>
  <c r="AR125" i="21" s="1"/>
  <c r="AE125" i="21"/>
  <c r="AF125" i="21" s="1"/>
  <c r="AB126" i="21" s="1"/>
  <c r="AC126" i="21" s="1"/>
  <c r="AD126" i="21" s="1"/>
  <c r="L125" i="21"/>
  <c r="AQ125" i="21"/>
  <c r="AJ125" i="21" s="1"/>
  <c r="AK125" i="21" s="1"/>
  <c r="AG126" i="21" s="1"/>
  <c r="BL127" i="21"/>
  <c r="CA127" i="21" s="1"/>
  <c r="BS127" i="21"/>
  <c r="BT127" i="21" s="1"/>
  <c r="BP128" i="21" s="1"/>
  <c r="N139" i="19"/>
  <c r="V138" i="19"/>
  <c r="X138" i="19" s="1"/>
  <c r="S139" i="19" s="1"/>
  <c r="Y138" i="19"/>
  <c r="K140" i="19"/>
  <c r="L140" i="19"/>
  <c r="AU127" i="21" l="1"/>
  <c r="U125" i="21"/>
  <c r="V125" i="21" s="1"/>
  <c r="R126" i="21" s="1"/>
  <c r="BG128" i="21"/>
  <c r="BH128" i="21" s="1"/>
  <c r="AY127" i="21"/>
  <c r="AZ127" i="21" s="1"/>
  <c r="AV128" i="21" s="1"/>
  <c r="O125" i="21"/>
  <c r="AH126" i="21"/>
  <c r="AI126" i="21" s="1"/>
  <c r="BD127" i="21"/>
  <c r="BE127" i="21" s="1"/>
  <c r="BA128" i="21" s="1"/>
  <c r="BV128" i="21"/>
  <c r="BW128" i="21" s="1"/>
  <c r="BM127" i="21"/>
  <c r="BQ128" i="21"/>
  <c r="BR128" i="21" s="1"/>
  <c r="BN127" i="21"/>
  <c r="W138" i="19"/>
  <c r="T139" i="19"/>
  <c r="M140" i="19"/>
  <c r="O140" i="19" s="1"/>
  <c r="J141" i="19" s="1"/>
  <c r="P140" i="19"/>
  <c r="S126" i="21" l="1"/>
  <c r="T126" i="21" s="1"/>
  <c r="AW128" i="21"/>
  <c r="AX128" i="21" s="1"/>
  <c r="BB128" i="21"/>
  <c r="BC128" i="21" s="1"/>
  <c r="BO127" i="21"/>
  <c r="AT128" i="21" s="1"/>
  <c r="P125" i="21"/>
  <c r="Q125" i="21" s="1"/>
  <c r="K141" i="19"/>
  <c r="L141" i="19" s="1"/>
  <c r="M141" i="19" s="1"/>
  <c r="N140" i="19"/>
  <c r="U139" i="19"/>
  <c r="Y139" i="19"/>
  <c r="K126" i="21" l="1"/>
  <c r="M126" i="21"/>
  <c r="BK128" i="21"/>
  <c r="BZ128" i="21"/>
  <c r="BX128" i="21" s="1"/>
  <c r="BY128" i="21" s="1"/>
  <c r="BU129" i="21" s="1"/>
  <c r="AU128" i="21"/>
  <c r="P141" i="19"/>
  <c r="O141" i="19"/>
  <c r="J142" i="19" s="1"/>
  <c r="V139" i="19"/>
  <c r="W139" i="19" s="1"/>
  <c r="N141" i="19"/>
  <c r="BD128" i="21" l="1"/>
  <c r="BE128" i="21" s="1"/>
  <c r="BA129" i="21" s="1"/>
  <c r="BB129" i="21" s="1"/>
  <c r="BC129" i="21" s="1"/>
  <c r="AY128" i="21"/>
  <c r="AZ128" i="21" s="1"/>
  <c r="AV129" i="21" s="1"/>
  <c r="BI128" i="21"/>
  <c r="BJ128" i="21" s="1"/>
  <c r="BF129" i="21" s="1"/>
  <c r="BS128" i="21"/>
  <c r="BT128" i="21" s="1"/>
  <c r="BP129" i="21" s="1"/>
  <c r="BQ129" i="21" s="1"/>
  <c r="BR129" i="21" s="1"/>
  <c r="BL128" i="21"/>
  <c r="CA128" i="21" s="1"/>
  <c r="AO126" i="21"/>
  <c r="AP126" i="21" s="1"/>
  <c r="AL127" i="21" s="1"/>
  <c r="N126" i="21"/>
  <c r="AR126" i="21" s="1"/>
  <c r="AJ126" i="21"/>
  <c r="AK126" i="21" s="1"/>
  <c r="AG127" i="21" s="1"/>
  <c r="AQ126" i="21"/>
  <c r="AE126" i="21" s="1"/>
  <c r="AF126" i="21" s="1"/>
  <c r="AB127" i="21" s="1"/>
  <c r="L126" i="21"/>
  <c r="BV129" i="21"/>
  <c r="BW129" i="21" s="1"/>
  <c r="X139" i="19"/>
  <c r="S140" i="19" s="1"/>
  <c r="K142" i="19"/>
  <c r="L142" i="19" s="1"/>
  <c r="M142" i="19" s="1"/>
  <c r="U126" i="21" l="1"/>
  <c r="V126" i="21" s="1"/>
  <c r="R127" i="21" s="1"/>
  <c r="BG129" i="21"/>
  <c r="BH129" i="21" s="1"/>
  <c r="AW129" i="21"/>
  <c r="AX129" i="21" s="1"/>
  <c r="AM127" i="21"/>
  <c r="AN127" i="21" s="1"/>
  <c r="BM128" i="21"/>
  <c r="BN128" i="21" s="1"/>
  <c r="AC127" i="21"/>
  <c r="AD127" i="21" s="1"/>
  <c r="AH127" i="21"/>
  <c r="AI127" i="21" s="1"/>
  <c r="O126" i="21"/>
  <c r="O142" i="19"/>
  <c r="J143" i="19" s="1"/>
  <c r="N142" i="19"/>
  <c r="P142" i="19"/>
  <c r="T140" i="19"/>
  <c r="U140" i="19"/>
  <c r="V140" i="19" s="1"/>
  <c r="S127" i="21" l="1"/>
  <c r="T127" i="21" s="1"/>
  <c r="BO128" i="21"/>
  <c r="BK129" i="21" s="1"/>
  <c r="BL129" i="21" s="1"/>
  <c r="CA129" i="21" s="1"/>
  <c r="P126" i="21"/>
  <c r="Q126" i="21" s="1"/>
  <c r="X140" i="19"/>
  <c r="S141" i="19" s="1"/>
  <c r="W140" i="19"/>
  <c r="Y140" i="19"/>
  <c r="K143" i="19"/>
  <c r="AT129" i="21" l="1"/>
  <c r="BZ129" i="21" s="1"/>
  <c r="BX129" i="21" s="1"/>
  <c r="BY129" i="21" s="1"/>
  <c r="BU130" i="21" s="1"/>
  <c r="BS129" i="21"/>
  <c r="BT129" i="21" s="1"/>
  <c r="BP130" i="21" s="1"/>
  <c r="BQ130" i="21" s="1"/>
  <c r="BR130" i="21" s="1"/>
  <c r="AU129" i="21"/>
  <c r="BI129" i="21"/>
  <c r="BJ129" i="21" s="1"/>
  <c r="BF130" i="21" s="1"/>
  <c r="AY129" i="21"/>
  <c r="AZ129" i="21" s="1"/>
  <c r="AV130" i="21" s="1"/>
  <c r="M127" i="21"/>
  <c r="K127" i="21"/>
  <c r="BD129" i="21"/>
  <c r="BE129" i="21" s="1"/>
  <c r="BA130" i="21" s="1"/>
  <c r="BV130" i="21"/>
  <c r="BW130" i="21" s="1"/>
  <c r="BM129" i="21"/>
  <c r="BN129" i="21"/>
  <c r="L143" i="19"/>
  <c r="P143" i="19"/>
  <c r="T141" i="19"/>
  <c r="AO127" i="21" l="1"/>
  <c r="AP127" i="21" s="1"/>
  <c r="AL128" i="21" s="1"/>
  <c r="AM128" i="21" s="1"/>
  <c r="AN128" i="21" s="1"/>
  <c r="AW130" i="21"/>
  <c r="AX130" i="21" s="1"/>
  <c r="BG130" i="21"/>
  <c r="BH130" i="21" s="1"/>
  <c r="BB130" i="21"/>
  <c r="BC130" i="21" s="1"/>
  <c r="AQ127" i="21"/>
  <c r="U127" i="21" s="1"/>
  <c r="V127" i="21" s="1"/>
  <c r="R128" i="21" s="1"/>
  <c r="L127" i="21"/>
  <c r="N127" i="21"/>
  <c r="AR127" i="21" s="1"/>
  <c r="AE127" i="21"/>
  <c r="AF127" i="21" s="1"/>
  <c r="AB128" i="21" s="1"/>
  <c r="AJ127" i="21"/>
  <c r="AK127" i="21" s="1"/>
  <c r="AG128" i="21" s="1"/>
  <c r="BO129" i="21"/>
  <c r="AT130" i="21" s="1"/>
  <c r="U141" i="19"/>
  <c r="Y141" i="19"/>
  <c r="M143" i="19"/>
  <c r="O143" i="19" s="1"/>
  <c r="J144" i="19" s="1"/>
  <c r="S128" i="21" l="1"/>
  <c r="T128" i="21" s="1"/>
  <c r="O127" i="21"/>
  <c r="AH128" i="21"/>
  <c r="AI128" i="21" s="1"/>
  <c r="AC128" i="21"/>
  <c r="AD128" i="21" s="1"/>
  <c r="BK130" i="21"/>
  <c r="BL130" i="21" s="1"/>
  <c r="CA130" i="21" s="1"/>
  <c r="AU130" i="21"/>
  <c r="BZ130" i="21"/>
  <c r="K144" i="19"/>
  <c r="L144" i="19" s="1"/>
  <c r="N143" i="19"/>
  <c r="V141" i="19"/>
  <c r="W141" i="19" s="1"/>
  <c r="BX130" i="21" l="1"/>
  <c r="BY130" i="21" s="1"/>
  <c r="BU131" i="21" s="1"/>
  <c r="BV131" i="21" s="1"/>
  <c r="BW131" i="21" s="1"/>
  <c r="AY130" i="21"/>
  <c r="AZ130" i="21" s="1"/>
  <c r="AV131" i="21" s="1"/>
  <c r="BI130" i="21"/>
  <c r="BJ130" i="21" s="1"/>
  <c r="BF131" i="21" s="1"/>
  <c r="P127" i="21"/>
  <c r="Q127" i="21" s="1"/>
  <c r="BD130" i="21"/>
  <c r="BE130" i="21" s="1"/>
  <c r="BA131" i="21" s="1"/>
  <c r="BS130" i="21"/>
  <c r="BT130" i="21" s="1"/>
  <c r="BP131" i="21" s="1"/>
  <c r="BQ131" i="21" s="1"/>
  <c r="BR131" i="21" s="1"/>
  <c r="BM130" i="21"/>
  <c r="X141" i="19"/>
  <c r="S142" i="19" s="1"/>
  <c r="M144" i="19"/>
  <c r="O144" i="19" s="1"/>
  <c r="J145" i="19" s="1"/>
  <c r="P144" i="19"/>
  <c r="BG131" i="21" l="1"/>
  <c r="BH131" i="21" s="1"/>
  <c r="AW131" i="21"/>
  <c r="AX131" i="21" s="1"/>
  <c r="M128" i="21"/>
  <c r="K128" i="21"/>
  <c r="BB131" i="21"/>
  <c r="BC131" i="21" s="1"/>
  <c r="BN130" i="21"/>
  <c r="BO130" i="21" s="1"/>
  <c r="K145" i="19"/>
  <c r="L145" i="19" s="1"/>
  <c r="N144" i="19"/>
  <c r="T142" i="19"/>
  <c r="U142" i="19"/>
  <c r="AO128" i="21" l="1"/>
  <c r="AP128" i="21" s="1"/>
  <c r="AL129" i="21" s="1"/>
  <c r="L128" i="21"/>
  <c r="AQ128" i="21"/>
  <c r="Z128" i="21" s="1"/>
  <c r="AA128" i="21" s="1"/>
  <c r="W129" i="21" s="1"/>
  <c r="N128" i="21"/>
  <c r="AR128" i="21" s="1"/>
  <c r="AE128" i="21"/>
  <c r="AF128" i="21" s="1"/>
  <c r="AB129" i="21" s="1"/>
  <c r="AJ128" i="21"/>
  <c r="AK128" i="21" s="1"/>
  <c r="AG129" i="21" s="1"/>
  <c r="BK131" i="21"/>
  <c r="AT131" i="21"/>
  <c r="P145" i="19"/>
  <c r="Y142" i="19"/>
  <c r="M145" i="19"/>
  <c r="O145" i="19" s="1"/>
  <c r="J146" i="19" s="1"/>
  <c r="V142" i="19"/>
  <c r="X142" i="19" s="1"/>
  <c r="S143" i="19" s="1"/>
  <c r="AM129" i="21" l="1"/>
  <c r="AN129" i="21" s="1"/>
  <c r="U128" i="21"/>
  <c r="V128" i="21" s="1"/>
  <c r="R129" i="21" s="1"/>
  <c r="BI131" i="21"/>
  <c r="BJ131" i="21" s="1"/>
  <c r="BF132" i="21" s="1"/>
  <c r="O128" i="21"/>
  <c r="P128" i="21" s="1"/>
  <c r="Q128" i="21" s="1"/>
  <c r="M129" i="21" s="1"/>
  <c r="AO129" i="21" s="1"/>
  <c r="AP129" i="21" s="1"/>
  <c r="AL130" i="21" s="1"/>
  <c r="AH129" i="21"/>
  <c r="AI129" i="21" s="1"/>
  <c r="AC129" i="21"/>
  <c r="AD129" i="21" s="1"/>
  <c r="Z129" i="21"/>
  <c r="X129" i="21"/>
  <c r="Y129" i="21" s="1"/>
  <c r="BD131" i="21"/>
  <c r="BE131" i="21" s="1"/>
  <c r="BA132" i="21" s="1"/>
  <c r="BZ131" i="21"/>
  <c r="BX131" i="21" s="1"/>
  <c r="BY131" i="21" s="1"/>
  <c r="BU132" i="21" s="1"/>
  <c r="AU131" i="21"/>
  <c r="BL131" i="21"/>
  <c r="CA131" i="21" s="1"/>
  <c r="BS131" i="21"/>
  <c r="BT131" i="21" s="1"/>
  <c r="BP132" i="21" s="1"/>
  <c r="N145" i="19"/>
  <c r="T143" i="19"/>
  <c r="K146" i="19"/>
  <c r="L146" i="19" s="1"/>
  <c r="M146" i="19" s="1"/>
  <c r="W142" i="19"/>
  <c r="AA129" i="21" l="1"/>
  <c r="W130" i="21" s="1"/>
  <c r="AM130" i="21"/>
  <c r="AN130" i="21" s="1"/>
  <c r="S129" i="21"/>
  <c r="T129" i="21" s="1"/>
  <c r="AJ129" i="21"/>
  <c r="AK129" i="21" s="1"/>
  <c r="AG130" i="21" s="1"/>
  <c r="AH130" i="21" s="1"/>
  <c r="AI130" i="21" s="1"/>
  <c r="AE129" i="21"/>
  <c r="AF129" i="21" s="1"/>
  <c r="AB130" i="21" s="1"/>
  <c r="AC130" i="21" s="1"/>
  <c r="AD130" i="21" s="1"/>
  <c r="K129" i="21"/>
  <c r="AQ129" i="21" s="1"/>
  <c r="AY131" i="21"/>
  <c r="AZ131" i="21" s="1"/>
  <c r="AV132" i="21" s="1"/>
  <c r="BG132" i="21"/>
  <c r="BH132" i="21" s="1"/>
  <c r="BB132" i="21"/>
  <c r="BC132" i="21" s="1"/>
  <c r="X130" i="21"/>
  <c r="Z130" i="21"/>
  <c r="Y130" i="21"/>
  <c r="AA130" i="21" s="1"/>
  <c r="W131" i="21" s="1"/>
  <c r="N129" i="21"/>
  <c r="AR129" i="21" s="1"/>
  <c r="BV132" i="21"/>
  <c r="BW132" i="21" s="1"/>
  <c r="BM131" i="21"/>
  <c r="BN131" i="21" s="1"/>
  <c r="BQ132" i="21"/>
  <c r="BR132" i="21" s="1"/>
  <c r="O146" i="19"/>
  <c r="J147" i="19" s="1"/>
  <c r="N146" i="19"/>
  <c r="P146" i="19"/>
  <c r="U143" i="19"/>
  <c r="Y143" i="19"/>
  <c r="L129" i="21" l="1"/>
  <c r="U129" i="21"/>
  <c r="V129" i="21" s="1"/>
  <c r="R130" i="21" s="1"/>
  <c r="O129" i="21"/>
  <c r="P129" i="21" s="1"/>
  <c r="Q129" i="21" s="1"/>
  <c r="AW132" i="21"/>
  <c r="AX132" i="21" s="1"/>
  <c r="Y131" i="21"/>
  <c r="Z131" i="21"/>
  <c r="X131" i="21"/>
  <c r="BO131" i="21"/>
  <c r="AT132" i="21" s="1"/>
  <c r="V143" i="19"/>
  <c r="W143" i="19" s="1"/>
  <c r="K147" i="19"/>
  <c r="P147" i="19" s="1"/>
  <c r="S130" i="21" l="1"/>
  <c r="T130" i="21" s="1"/>
  <c r="M130" i="21"/>
  <c r="AO130" i="21" s="1"/>
  <c r="AP130" i="21" s="1"/>
  <c r="AL131" i="21" s="1"/>
  <c r="AM131" i="21" s="1"/>
  <c r="AN131" i="21" s="1"/>
  <c r="K130" i="21"/>
  <c r="AA131" i="21"/>
  <c r="W132" i="21" s="1"/>
  <c r="BK132" i="21"/>
  <c r="BS132" i="21" s="1"/>
  <c r="BT132" i="21" s="1"/>
  <c r="BP133" i="21" s="1"/>
  <c r="BZ132" i="21"/>
  <c r="AU132" i="21"/>
  <c r="L147" i="19"/>
  <c r="M147" i="19" s="1"/>
  <c r="X143" i="19"/>
  <c r="S144" i="19" s="1"/>
  <c r="BI132" i="21" l="1"/>
  <c r="BJ132" i="21" s="1"/>
  <c r="BF133" i="21" s="1"/>
  <c r="AY132" i="21"/>
  <c r="AZ132" i="21" s="1"/>
  <c r="AV133" i="21" s="1"/>
  <c r="Z132" i="21"/>
  <c r="X132" i="21"/>
  <c r="Y132" i="21" s="1"/>
  <c r="AA132" i="21" s="1"/>
  <c r="W133" i="21" s="1"/>
  <c r="L130" i="21"/>
  <c r="AQ130" i="21"/>
  <c r="BD132" i="21"/>
  <c r="BE132" i="21" s="1"/>
  <c r="BA133" i="21" s="1"/>
  <c r="N130" i="21"/>
  <c r="AR130" i="21" s="1"/>
  <c r="AJ130" i="21"/>
  <c r="AK130" i="21" s="1"/>
  <c r="AG131" i="21" s="1"/>
  <c r="BL132" i="21"/>
  <c r="CA132" i="21" s="1"/>
  <c r="BX132" i="21"/>
  <c r="BY132" i="21" s="1"/>
  <c r="BU133" i="21" s="1"/>
  <c r="BQ133" i="21"/>
  <c r="BR133" i="21" s="1"/>
  <c r="O147" i="19"/>
  <c r="J148" i="19" s="1"/>
  <c r="K148" i="19" s="1"/>
  <c r="N147" i="19"/>
  <c r="T144" i="19"/>
  <c r="U144" i="19"/>
  <c r="V144" i="19" s="1"/>
  <c r="AE130" i="21" l="1"/>
  <c r="AF130" i="21" s="1"/>
  <c r="AB131" i="21" s="1"/>
  <c r="AC131" i="21" s="1"/>
  <c r="AD131" i="21" s="1"/>
  <c r="U130" i="21"/>
  <c r="V130" i="21" s="1"/>
  <c r="R131" i="21" s="1"/>
  <c r="BM132" i="21"/>
  <c r="BN132" i="21" s="1"/>
  <c r="BO132" i="21" s="1"/>
  <c r="BK133" i="21" s="1"/>
  <c r="AW133" i="21"/>
  <c r="AX133" i="21" s="1"/>
  <c r="BG133" i="21"/>
  <c r="BH133" i="21"/>
  <c r="Z133" i="21"/>
  <c r="X133" i="21"/>
  <c r="Y133" i="21" s="1"/>
  <c r="AA133" i="21" s="1"/>
  <c r="W134" i="21" s="1"/>
  <c r="AH131" i="21"/>
  <c r="AI131" i="21" s="1"/>
  <c r="O130" i="21"/>
  <c r="BB133" i="21"/>
  <c r="BC133" i="21" s="1"/>
  <c r="BV133" i="21"/>
  <c r="BW133" i="21" s="1"/>
  <c r="L148" i="19"/>
  <c r="M148" i="19" s="1"/>
  <c r="O148" i="19" s="1"/>
  <c r="J149" i="19" s="1"/>
  <c r="W144" i="19"/>
  <c r="Y144" i="19"/>
  <c r="X144" i="19"/>
  <c r="S145" i="19" s="1"/>
  <c r="P148" i="19"/>
  <c r="S131" i="21" l="1"/>
  <c r="T131" i="21" s="1"/>
  <c r="AT133" i="21"/>
  <c r="BZ133" i="21" s="1"/>
  <c r="BX133" i="21" s="1"/>
  <c r="BY133" i="21" s="1"/>
  <c r="BU134" i="21" s="1"/>
  <c r="BI133" i="21"/>
  <c r="BJ133" i="21" s="1"/>
  <c r="BF134" i="21" s="1"/>
  <c r="Z134" i="21"/>
  <c r="X134" i="21"/>
  <c r="Y134" i="21"/>
  <c r="P130" i="21"/>
  <c r="Q130" i="21" s="1"/>
  <c r="AU133" i="21"/>
  <c r="BL133" i="21"/>
  <c r="CA133" i="21" s="1"/>
  <c r="BS133" i="21"/>
  <c r="BT133" i="21" s="1"/>
  <c r="BP134" i="21" s="1"/>
  <c r="K149" i="19"/>
  <c r="L149" i="19" s="1"/>
  <c r="M149" i="19" s="1"/>
  <c r="N148" i="19"/>
  <c r="T145" i="19"/>
  <c r="U145" i="19" s="1"/>
  <c r="BG134" i="21" l="1"/>
  <c r="BH134" i="21" s="1"/>
  <c r="AY133" i="21"/>
  <c r="AZ133" i="21" s="1"/>
  <c r="AV134" i="21" s="1"/>
  <c r="M131" i="21"/>
  <c r="K131" i="21"/>
  <c r="BD133" i="21"/>
  <c r="BE133" i="21" s="1"/>
  <c r="BA134" i="21" s="1"/>
  <c r="AA134" i="21"/>
  <c r="W135" i="21" s="1"/>
  <c r="BV134" i="21"/>
  <c r="BW134" i="21" s="1"/>
  <c r="BQ134" i="21"/>
  <c r="BR134" i="21" s="1"/>
  <c r="BM133" i="21"/>
  <c r="P149" i="19"/>
  <c r="Y145" i="19"/>
  <c r="V145" i="19"/>
  <c r="X145" i="19" s="1"/>
  <c r="S146" i="19" s="1"/>
  <c r="O149" i="19"/>
  <c r="J150" i="19" s="1"/>
  <c r="W145" i="19"/>
  <c r="N149" i="19"/>
  <c r="AO131" i="21" l="1"/>
  <c r="AP131" i="21" s="1"/>
  <c r="AL132" i="21" s="1"/>
  <c r="AW134" i="21"/>
  <c r="AX134" i="21" s="1"/>
  <c r="BB134" i="21"/>
  <c r="BC134" i="21" s="1"/>
  <c r="L131" i="21"/>
  <c r="AQ131" i="21"/>
  <c r="U131" i="21" s="1"/>
  <c r="V131" i="21" s="1"/>
  <c r="R132" i="21" s="1"/>
  <c r="Z135" i="21"/>
  <c r="X135" i="21"/>
  <c r="Y135" i="21" s="1"/>
  <c r="N131" i="21"/>
  <c r="AR131" i="21" s="1"/>
  <c r="AJ131" i="21"/>
  <c r="AK131" i="21" s="1"/>
  <c r="AG132" i="21" s="1"/>
  <c r="AE131" i="21"/>
  <c r="AF131" i="21" s="1"/>
  <c r="AB132" i="21" s="1"/>
  <c r="BN133" i="21"/>
  <c r="BO133" i="21" s="1"/>
  <c r="T146" i="19"/>
  <c r="U146" i="19"/>
  <c r="K150" i="19"/>
  <c r="L150" i="19"/>
  <c r="S132" i="21" l="1"/>
  <c r="T132" i="21" s="1"/>
  <c r="AM132" i="21"/>
  <c r="AN132" i="21" s="1"/>
  <c r="AA135" i="21"/>
  <c r="W136" i="21" s="1"/>
  <c r="AC132" i="21"/>
  <c r="AD132" i="21" s="1"/>
  <c r="AH132" i="21"/>
  <c r="AI132" i="21" s="1"/>
  <c r="O131" i="21"/>
  <c r="BK134" i="21"/>
  <c r="AT134" i="21"/>
  <c r="M150" i="19"/>
  <c r="O150" i="19" s="1"/>
  <c r="J151" i="19" s="1"/>
  <c r="P150" i="19"/>
  <c r="V146" i="19"/>
  <c r="X146" i="19" s="1"/>
  <c r="S147" i="19" s="1"/>
  <c r="Y146" i="19"/>
  <c r="BI134" i="21" l="1"/>
  <c r="BJ134" i="21" s="1"/>
  <c r="BF135" i="21" s="1"/>
  <c r="X136" i="21"/>
  <c r="Y136" i="21" s="1"/>
  <c r="Z136" i="21"/>
  <c r="P131" i="21"/>
  <c r="Q131" i="21" s="1"/>
  <c r="BZ134" i="21"/>
  <c r="BX134" i="21" s="1"/>
  <c r="BY134" i="21" s="1"/>
  <c r="BU135" i="21" s="1"/>
  <c r="AU134" i="21"/>
  <c r="BL134" i="21"/>
  <c r="CA134" i="21" s="1"/>
  <c r="BS134" i="21"/>
  <c r="BT134" i="21" s="1"/>
  <c r="BP135" i="21" s="1"/>
  <c r="N150" i="19"/>
  <c r="T147" i="19"/>
  <c r="U147" i="19"/>
  <c r="V147" i="19" s="1"/>
  <c r="K151" i="19"/>
  <c r="P151" i="19" s="1"/>
  <c r="W146" i="19"/>
  <c r="AA136" i="21" l="1"/>
  <c r="W137" i="21" s="1"/>
  <c r="AY134" i="21"/>
  <c r="AZ134" i="21" s="1"/>
  <c r="AV135" i="21" s="1"/>
  <c r="BG135" i="21"/>
  <c r="BH135" i="21" s="1"/>
  <c r="M132" i="21"/>
  <c r="K132" i="21"/>
  <c r="X137" i="21"/>
  <c r="Y137" i="21"/>
  <c r="Z137" i="21"/>
  <c r="BD134" i="21"/>
  <c r="BE134" i="21" s="1"/>
  <c r="BA135" i="21" s="1"/>
  <c r="BV135" i="21"/>
  <c r="BW135" i="21" s="1"/>
  <c r="BM134" i="21"/>
  <c r="BN134" i="21" s="1"/>
  <c r="BO134" i="21" s="1"/>
  <c r="BQ135" i="21"/>
  <c r="BR135" i="21" s="1"/>
  <c r="L151" i="19"/>
  <c r="W147" i="19"/>
  <c r="X147" i="19"/>
  <c r="S148" i="19" s="1"/>
  <c r="Y147" i="19"/>
  <c r="AO132" i="21" l="1"/>
  <c r="AP132" i="21" s="1"/>
  <c r="AL133" i="21" s="1"/>
  <c r="AT135" i="21"/>
  <c r="AA137" i="21"/>
  <c r="W138" i="21" s="1"/>
  <c r="X138" i="21" s="1"/>
  <c r="Y138" i="21" s="1"/>
  <c r="AW135" i="21"/>
  <c r="AX135" i="21" s="1"/>
  <c r="BB135" i="21"/>
  <c r="BC135" i="21" s="1"/>
  <c r="L132" i="21"/>
  <c r="AQ132" i="21"/>
  <c r="U132" i="21" s="1"/>
  <c r="V132" i="21" s="1"/>
  <c r="R133" i="21" s="1"/>
  <c r="N132" i="21"/>
  <c r="AR132" i="21" s="1"/>
  <c r="AE132" i="21"/>
  <c r="AF132" i="21" s="1"/>
  <c r="AB133" i="21" s="1"/>
  <c r="AJ132" i="21"/>
  <c r="AK132" i="21" s="1"/>
  <c r="AG133" i="21" s="1"/>
  <c r="BK135" i="21"/>
  <c r="BD135" i="21" s="1"/>
  <c r="BZ135" i="21"/>
  <c r="AU135" i="21"/>
  <c r="T148" i="19"/>
  <c r="U148" i="19"/>
  <c r="V148" i="19" s="1"/>
  <c r="M151" i="19"/>
  <c r="N151" i="19" s="1"/>
  <c r="S133" i="21" l="1"/>
  <c r="T133" i="21" s="1"/>
  <c r="AM133" i="21"/>
  <c r="AN133" i="21" s="1"/>
  <c r="AY135" i="21"/>
  <c r="AZ135" i="21" s="1"/>
  <c r="AV136" i="21" s="1"/>
  <c r="Z138" i="21"/>
  <c r="AA138" i="21" s="1"/>
  <c r="W139" i="21" s="1"/>
  <c r="X139" i="21" s="1"/>
  <c r="Y139" i="21" s="1"/>
  <c r="BI135" i="21"/>
  <c r="BJ135" i="21" s="1"/>
  <c r="BF136" i="21" s="1"/>
  <c r="BE135" i="21"/>
  <c r="BA136" i="21" s="1"/>
  <c r="AC133" i="21"/>
  <c r="AD133" i="21" s="1"/>
  <c r="O132" i="21"/>
  <c r="AH133" i="21"/>
  <c r="AI133" i="21" s="1"/>
  <c r="BL135" i="21"/>
  <c r="CA135" i="21" s="1"/>
  <c r="BX135" i="21"/>
  <c r="BY135" i="21" s="1"/>
  <c r="BU136" i="21" s="1"/>
  <c r="BS135" i="21"/>
  <c r="BT135" i="21" s="1"/>
  <c r="BP136" i="21" s="1"/>
  <c r="BQ136" i="21" s="1"/>
  <c r="BR136" i="21" s="1"/>
  <c r="O151" i="19"/>
  <c r="J152" i="19" s="1"/>
  <c r="X148" i="19"/>
  <c r="S149" i="19" s="1"/>
  <c r="W148" i="19"/>
  <c r="Y148" i="19"/>
  <c r="Z139" i="21" l="1"/>
  <c r="AA139" i="21" s="1"/>
  <c r="W140" i="21" s="1"/>
  <c r="AW136" i="21"/>
  <c r="AX136" i="21" s="1"/>
  <c r="BG136" i="21"/>
  <c r="BH136" i="21" s="1"/>
  <c r="P132" i="21"/>
  <c r="Q132" i="21" s="1"/>
  <c r="BB136" i="21"/>
  <c r="BC136" i="21" s="1"/>
  <c r="BM135" i="21"/>
  <c r="BV136" i="21"/>
  <c r="BW136" i="21" s="1"/>
  <c r="BN135" i="21"/>
  <c r="T149" i="19"/>
  <c r="Y149" i="19" s="1"/>
  <c r="K152" i="19"/>
  <c r="X140" i="21" l="1"/>
  <c r="Y140" i="21"/>
  <c r="Z140" i="21"/>
  <c r="AA140" i="21" s="1"/>
  <c r="W141" i="21" s="1"/>
  <c r="M133" i="21"/>
  <c r="K133" i="21"/>
  <c r="BO135" i="21"/>
  <c r="AT136" i="21" s="1"/>
  <c r="P152" i="19"/>
  <c r="L152" i="19"/>
  <c r="U149" i="19"/>
  <c r="AO133" i="21" l="1"/>
  <c r="AP133" i="21" s="1"/>
  <c r="AL134" i="21" s="1"/>
  <c r="X141" i="21"/>
  <c r="Y141" i="21" s="1"/>
  <c r="Z141" i="21"/>
  <c r="BK136" i="21"/>
  <c r="BD136" i="21" s="1"/>
  <c r="BE136" i="21" s="1"/>
  <c r="BA137" i="21" s="1"/>
  <c r="AQ133" i="21"/>
  <c r="U133" i="21" s="1"/>
  <c r="V133" i="21" s="1"/>
  <c r="R134" i="21" s="1"/>
  <c r="L133" i="21"/>
  <c r="N133" i="21"/>
  <c r="AR133" i="21" s="1"/>
  <c r="AJ133" i="21"/>
  <c r="AK133" i="21" s="1"/>
  <c r="AG134" i="21" s="1"/>
  <c r="AE133" i="21"/>
  <c r="AF133" i="21" s="1"/>
  <c r="AB134" i="21" s="1"/>
  <c r="AC134" i="21" s="1"/>
  <c r="AD134" i="21" s="1"/>
  <c r="BZ136" i="21"/>
  <c r="AU136" i="21"/>
  <c r="V149" i="19"/>
  <c r="X149" i="19"/>
  <c r="S150" i="19" s="1"/>
  <c r="W149" i="19"/>
  <c r="M152" i="19"/>
  <c r="O152" i="19" s="1"/>
  <c r="J153" i="19" s="1"/>
  <c r="BS136" i="21" l="1"/>
  <c r="BT136" i="21" s="1"/>
  <c r="BP137" i="21" s="1"/>
  <c r="S134" i="21"/>
  <c r="T134" i="21" s="1"/>
  <c r="AM134" i="21"/>
  <c r="AN134" i="21" s="1"/>
  <c r="AA141" i="21"/>
  <c r="W142" i="21" s="1"/>
  <c r="X142" i="21" s="1"/>
  <c r="Y142" i="21" s="1"/>
  <c r="BL136" i="21"/>
  <c r="CA136" i="21" s="1"/>
  <c r="BI136" i="21"/>
  <c r="BJ136" i="21" s="1"/>
  <c r="BF137" i="21" s="1"/>
  <c r="BG137" i="21" s="1"/>
  <c r="BH137" i="21" s="1"/>
  <c r="O133" i="21"/>
  <c r="P133" i="21" s="1"/>
  <c r="BB137" i="21"/>
  <c r="BC137" i="21" s="1"/>
  <c r="AY136" i="21"/>
  <c r="AZ136" i="21" s="1"/>
  <c r="AV137" i="21" s="1"/>
  <c r="AH134" i="21"/>
  <c r="AI134" i="21" s="1"/>
  <c r="BX136" i="21"/>
  <c r="BY136" i="21" s="1"/>
  <c r="BU137" i="21" s="1"/>
  <c r="BQ137" i="21"/>
  <c r="BR137" i="21" s="1"/>
  <c r="N152" i="19"/>
  <c r="K153" i="19"/>
  <c r="L153" i="19"/>
  <c r="T150" i="19"/>
  <c r="U150" i="19"/>
  <c r="Q133" i="21" l="1"/>
  <c r="M134" i="21" s="1"/>
  <c r="BM136" i="21"/>
  <c r="BN136" i="21" s="1"/>
  <c r="BO136" i="21" s="1"/>
  <c r="AT137" i="21" s="1"/>
  <c r="Z142" i="21"/>
  <c r="AA142" i="21" s="1"/>
  <c r="W143" i="21" s="1"/>
  <c r="X143" i="21" s="1"/>
  <c r="Y143" i="21" s="1"/>
  <c r="AW137" i="21"/>
  <c r="AX137" i="21" s="1"/>
  <c r="K134" i="21"/>
  <c r="BV137" i="21"/>
  <c r="BW137" i="21" s="1"/>
  <c r="V150" i="19"/>
  <c r="X150" i="19" s="1"/>
  <c r="S151" i="19" s="1"/>
  <c r="Y150" i="19"/>
  <c r="M153" i="19"/>
  <c r="O153" i="19" s="1"/>
  <c r="J154" i="19" s="1"/>
  <c r="P153" i="19"/>
  <c r="BK137" i="21" l="1"/>
  <c r="BD137" i="21" s="1"/>
  <c r="BE137" i="21" s="1"/>
  <c r="BA138" i="21" s="1"/>
  <c r="BB138" i="21" s="1"/>
  <c r="BC138" i="21" s="1"/>
  <c r="AO134" i="21"/>
  <c r="AP134" i="21" s="1"/>
  <c r="AL135" i="21" s="1"/>
  <c r="Z143" i="21"/>
  <c r="AA143" i="21" s="1"/>
  <c r="W144" i="21" s="1"/>
  <c r="X144" i="21" s="1"/>
  <c r="Y144" i="21" s="1"/>
  <c r="BI137" i="21"/>
  <c r="BJ137" i="21" s="1"/>
  <c r="BF138" i="21" s="1"/>
  <c r="L134" i="21"/>
  <c r="AQ134" i="21"/>
  <c r="AE134" i="21" s="1"/>
  <c r="AF134" i="21" s="1"/>
  <c r="AB135" i="21" s="1"/>
  <c r="AC135" i="21" s="1"/>
  <c r="AD135" i="21" s="1"/>
  <c r="N134" i="21"/>
  <c r="AR134" i="21" s="1"/>
  <c r="AJ134" i="21"/>
  <c r="AK134" i="21" s="1"/>
  <c r="AG135" i="21" s="1"/>
  <c r="BZ137" i="21"/>
  <c r="BS137" i="21" s="1"/>
  <c r="BT137" i="21" s="1"/>
  <c r="BP138" i="21" s="1"/>
  <c r="AU137" i="21"/>
  <c r="BL137" i="21"/>
  <c r="CA137" i="21" s="1"/>
  <c r="W150" i="19"/>
  <c r="K154" i="19"/>
  <c r="L154" i="19" s="1"/>
  <c r="M154" i="19" s="1"/>
  <c r="T151" i="19"/>
  <c r="U151" i="19" s="1"/>
  <c r="V151" i="19" s="1"/>
  <c r="N153" i="19"/>
  <c r="AM135" i="21" l="1"/>
  <c r="AN135" i="21" s="1"/>
  <c r="U134" i="21"/>
  <c r="V134" i="21" s="1"/>
  <c r="R135" i="21" s="1"/>
  <c r="BG138" i="21"/>
  <c r="BH138" i="21" s="1"/>
  <c r="O134" i="21"/>
  <c r="AY137" i="21"/>
  <c r="AZ137" i="21" s="1"/>
  <c r="AV138" i="21" s="1"/>
  <c r="AH135" i="21"/>
  <c r="AI135" i="21" s="1"/>
  <c r="BX137" i="21"/>
  <c r="BY137" i="21" s="1"/>
  <c r="BU138" i="21" s="1"/>
  <c r="P154" i="19"/>
  <c r="BQ138" i="21"/>
  <c r="BR138" i="21" s="1"/>
  <c r="BM137" i="21"/>
  <c r="X151" i="19"/>
  <c r="S152" i="19" s="1"/>
  <c r="O154" i="19"/>
  <c r="J155" i="19" s="1"/>
  <c r="W151" i="19"/>
  <c r="Y151" i="19"/>
  <c r="N154" i="19"/>
  <c r="S135" i="21" l="1"/>
  <c r="T135" i="21" s="1"/>
  <c r="P134" i="21"/>
  <c r="Q134" i="21" s="1"/>
  <c r="AW138" i="21"/>
  <c r="AX138" i="21" s="1"/>
  <c r="BV138" i="21"/>
  <c r="BW138" i="21" s="1"/>
  <c r="BN137" i="21"/>
  <c r="BO137" i="21" s="1"/>
  <c r="K155" i="19"/>
  <c r="T152" i="19"/>
  <c r="U152" i="19" s="1"/>
  <c r="M135" i="21" l="1"/>
  <c r="K135" i="21"/>
  <c r="BK138" i="21"/>
  <c r="AT138" i="21"/>
  <c r="V152" i="19"/>
  <c r="X152" i="19" s="1"/>
  <c r="S153" i="19" s="1"/>
  <c r="P155" i="19"/>
  <c r="L155" i="19"/>
  <c r="Y152" i="19"/>
  <c r="AJ135" i="21" l="1"/>
  <c r="AK135" i="21" s="1"/>
  <c r="AG136" i="21" s="1"/>
  <c r="AO135" i="21"/>
  <c r="AP135" i="21" s="1"/>
  <c r="AL136" i="21" s="1"/>
  <c r="AQ135" i="21"/>
  <c r="AE135" i="21" s="1"/>
  <c r="AF135" i="21" s="1"/>
  <c r="AB136" i="21" s="1"/>
  <c r="L135" i="21"/>
  <c r="BI138" i="21"/>
  <c r="BJ138" i="21" s="1"/>
  <c r="BF139" i="21" s="1"/>
  <c r="BD138" i="21"/>
  <c r="BE138" i="21" s="1"/>
  <c r="BA139" i="21" s="1"/>
  <c r="N135" i="21"/>
  <c r="AR135" i="21" s="1"/>
  <c r="AH136" i="21"/>
  <c r="AI136" i="21" s="1"/>
  <c r="BL138" i="21"/>
  <c r="CA138" i="21" s="1"/>
  <c r="BZ138" i="21"/>
  <c r="BS138" i="21" s="1"/>
  <c r="BT138" i="21" s="1"/>
  <c r="BP139" i="21" s="1"/>
  <c r="AU138" i="21"/>
  <c r="W152" i="19"/>
  <c r="T153" i="19"/>
  <c r="Y153" i="19" s="1"/>
  <c r="M155" i="19"/>
  <c r="N155" i="19" s="1"/>
  <c r="U135" i="21" l="1"/>
  <c r="V135" i="21" s="1"/>
  <c r="R136" i="21" s="1"/>
  <c r="AM136" i="21"/>
  <c r="AN136" i="21" s="1"/>
  <c r="BB139" i="21"/>
  <c r="BC139" i="21" s="1"/>
  <c r="AY138" i="21"/>
  <c r="AZ138" i="21" s="1"/>
  <c r="AV139" i="21" s="1"/>
  <c r="BG139" i="21"/>
  <c r="BH139" i="21" s="1"/>
  <c r="O135" i="21"/>
  <c r="AC136" i="21"/>
  <c r="AD136" i="21" s="1"/>
  <c r="BX138" i="21"/>
  <c r="BY138" i="21" s="1"/>
  <c r="BU139" i="21" s="1"/>
  <c r="BM138" i="21"/>
  <c r="BQ139" i="21"/>
  <c r="BR139" i="21" s="1"/>
  <c r="O155" i="19"/>
  <c r="J156" i="19" s="1"/>
  <c r="U153" i="19"/>
  <c r="S136" i="21" l="1"/>
  <c r="T136" i="21" s="1"/>
  <c r="AW139" i="21"/>
  <c r="AX139" i="21" s="1"/>
  <c r="P135" i="21"/>
  <c r="Q135" i="21" s="1"/>
  <c r="BV139" i="21"/>
  <c r="BW139" i="21" s="1"/>
  <c r="Z144" i="21"/>
  <c r="AA144" i="21" s="1"/>
  <c r="W145" i="21" s="1"/>
  <c r="BN138" i="21"/>
  <c r="BO138" i="21" s="1"/>
  <c r="V153" i="19"/>
  <c r="X153" i="19" s="1"/>
  <c r="S154" i="19" s="1"/>
  <c r="K156" i="19"/>
  <c r="L156" i="19"/>
  <c r="M136" i="21" l="1"/>
  <c r="K136" i="21"/>
  <c r="X145" i="21"/>
  <c r="Y145" i="21" s="1"/>
  <c r="Z145" i="21"/>
  <c r="BK139" i="21"/>
  <c r="AT139" i="21"/>
  <c r="W153" i="19"/>
  <c r="M156" i="19"/>
  <c r="O156" i="19" s="1"/>
  <c r="J157" i="19" s="1"/>
  <c r="P156" i="19"/>
  <c r="T154" i="19"/>
  <c r="U154" i="19"/>
  <c r="V154" i="19" s="1"/>
  <c r="AO136" i="21" l="1"/>
  <c r="AP136" i="21" s="1"/>
  <c r="AL137" i="21" s="1"/>
  <c r="AM137" i="21" s="1"/>
  <c r="AN137" i="21" s="1"/>
  <c r="AQ136" i="21"/>
  <c r="AJ136" i="21" s="1"/>
  <c r="AK136" i="21" s="1"/>
  <c r="AG137" i="21" s="1"/>
  <c r="AH137" i="21" s="1"/>
  <c r="L136" i="21"/>
  <c r="BD139" i="21"/>
  <c r="BE139" i="21" s="1"/>
  <c r="BA140" i="21" s="1"/>
  <c r="BI139" i="21"/>
  <c r="BJ139" i="21" s="1"/>
  <c r="BF140" i="21" s="1"/>
  <c r="N136" i="21"/>
  <c r="AR136" i="21" s="1"/>
  <c r="AE136" i="21"/>
  <c r="AF136" i="21" s="1"/>
  <c r="AB137" i="21" s="1"/>
  <c r="AA145" i="21"/>
  <c r="W146" i="21" s="1"/>
  <c r="BZ139" i="21"/>
  <c r="BS139" i="21" s="1"/>
  <c r="BT139" i="21" s="1"/>
  <c r="BP140" i="21" s="1"/>
  <c r="AU139" i="21"/>
  <c r="BL139" i="21"/>
  <c r="CA139" i="21" s="1"/>
  <c r="N156" i="19"/>
  <c r="K157" i="19"/>
  <c r="L157" i="19" s="1"/>
  <c r="X154" i="19"/>
  <c r="S155" i="19" s="1"/>
  <c r="W154" i="19"/>
  <c r="Y154" i="19"/>
  <c r="U136" i="21" l="1"/>
  <c r="V136" i="21" s="1"/>
  <c r="R137" i="21" s="1"/>
  <c r="AI137" i="21"/>
  <c r="O136" i="21"/>
  <c r="AY139" i="21"/>
  <c r="AZ139" i="21" s="1"/>
  <c r="AV140" i="21" s="1"/>
  <c r="BG140" i="21"/>
  <c r="BH140" i="21" s="1"/>
  <c r="BB140" i="21"/>
  <c r="BC140" i="21" s="1"/>
  <c r="AC137" i="21"/>
  <c r="AD137" i="21" s="1"/>
  <c r="BX139" i="21"/>
  <c r="BY139" i="21" s="1"/>
  <c r="BU140" i="21" s="1"/>
  <c r="P157" i="19"/>
  <c r="X146" i="21"/>
  <c r="Y146" i="21" s="1"/>
  <c r="Z146" i="21"/>
  <c r="BQ140" i="21"/>
  <c r="BR140" i="21" s="1"/>
  <c r="BM139" i="21"/>
  <c r="T155" i="19"/>
  <c r="U155" i="19" s="1"/>
  <c r="V155" i="19" s="1"/>
  <c r="M157" i="19"/>
  <c r="O157" i="19" s="1"/>
  <c r="J158" i="19" s="1"/>
  <c r="S137" i="21" l="1"/>
  <c r="T137" i="21" s="1"/>
  <c r="AW140" i="21"/>
  <c r="AX140" i="21" s="1"/>
  <c r="P136" i="21"/>
  <c r="Q136" i="21" s="1"/>
  <c r="AA146" i="21"/>
  <c r="W147" i="21" s="1"/>
  <c r="X147" i="21" s="1"/>
  <c r="Y147" i="21" s="1"/>
  <c r="BV140" i="21"/>
  <c r="BW140" i="21" s="1"/>
  <c r="BN139" i="21"/>
  <c r="BO139" i="21" s="1"/>
  <c r="K158" i="19"/>
  <c r="L158" i="19" s="1"/>
  <c r="M158" i="19" s="1"/>
  <c r="W155" i="19"/>
  <c r="X155" i="19"/>
  <c r="S156" i="19" s="1"/>
  <c r="Y155" i="19"/>
  <c r="N157" i="19"/>
  <c r="M137" i="21" l="1"/>
  <c r="K137" i="21"/>
  <c r="Z147" i="21"/>
  <c r="AA147" i="21" s="1"/>
  <c r="W148" i="21" s="1"/>
  <c r="X148" i="21" s="1"/>
  <c r="Y148" i="21" s="1"/>
  <c r="BK140" i="21"/>
  <c r="AT140" i="21"/>
  <c r="T156" i="19"/>
  <c r="U156" i="19" s="1"/>
  <c r="O158" i="19"/>
  <c r="J159" i="19" s="1"/>
  <c r="N158" i="19"/>
  <c r="P158" i="19"/>
  <c r="AO137" i="21" l="1"/>
  <c r="AP137" i="21" s="1"/>
  <c r="AL138" i="21" s="1"/>
  <c r="AM138" i="21" s="1"/>
  <c r="AN138" i="21" s="1"/>
  <c r="BD140" i="21"/>
  <c r="BE140" i="21" s="1"/>
  <c r="BA141" i="21" s="1"/>
  <c r="BI140" i="21"/>
  <c r="BJ140" i="21" s="1"/>
  <c r="BF141" i="21" s="1"/>
  <c r="N137" i="21"/>
  <c r="AR137" i="21" s="1"/>
  <c r="AJ137" i="21"/>
  <c r="AK137" i="21" s="1"/>
  <c r="AG138" i="21" s="1"/>
  <c r="AE137" i="21"/>
  <c r="AF137" i="21" s="1"/>
  <c r="AB138" i="21" s="1"/>
  <c r="AQ137" i="21"/>
  <c r="U137" i="21" s="1"/>
  <c r="V137" i="21" s="1"/>
  <c r="R138" i="21" s="1"/>
  <c r="L137" i="21"/>
  <c r="Z148" i="21"/>
  <c r="AA148" i="21" s="1"/>
  <c r="W149" i="21" s="1"/>
  <c r="X149" i="21" s="1"/>
  <c r="Y149" i="21" s="1"/>
  <c r="BZ140" i="21"/>
  <c r="BX140" i="21" s="1"/>
  <c r="BY140" i="21" s="1"/>
  <c r="BU141" i="21" s="1"/>
  <c r="AU140" i="21"/>
  <c r="BL140" i="21"/>
  <c r="CA140" i="21" s="1"/>
  <c r="V156" i="19"/>
  <c r="X156" i="19" s="1"/>
  <c r="S157" i="19" s="1"/>
  <c r="K159" i="19"/>
  <c r="W156" i="19"/>
  <c r="Y156" i="19"/>
  <c r="S138" i="21" l="1"/>
  <c r="T138" i="21" s="1"/>
  <c r="O137" i="21"/>
  <c r="P137" i="21" s="1"/>
  <c r="Q137" i="21" s="1"/>
  <c r="AC138" i="21"/>
  <c r="AD138" i="21" s="1"/>
  <c r="AY140" i="21"/>
  <c r="AZ140" i="21" s="1"/>
  <c r="AV141" i="21" s="1"/>
  <c r="BG141" i="21"/>
  <c r="BH141" i="21" s="1"/>
  <c r="AH138" i="21"/>
  <c r="AI138" i="21" s="1"/>
  <c r="BB141" i="21"/>
  <c r="BC141" i="21" s="1"/>
  <c r="BV141" i="21"/>
  <c r="BW141" i="21" s="1"/>
  <c r="BM140" i="21"/>
  <c r="BN140" i="21" s="1"/>
  <c r="BO140" i="21" s="1"/>
  <c r="BK141" i="21" s="1"/>
  <c r="BS140" i="21"/>
  <c r="BT140" i="21" s="1"/>
  <c r="BP141" i="21" s="1"/>
  <c r="BQ141" i="21" s="1"/>
  <c r="BR141" i="21" s="1"/>
  <c r="T157" i="19"/>
  <c r="P159" i="19"/>
  <c r="L159" i="19"/>
  <c r="Y157" i="19"/>
  <c r="BD141" i="21" l="1"/>
  <c r="BE141" i="21" s="1"/>
  <c r="BA142" i="21" s="1"/>
  <c r="M138" i="21"/>
  <c r="K138" i="21"/>
  <c r="AW141" i="21"/>
  <c r="AX141" i="21" s="1"/>
  <c r="BI141" i="21"/>
  <c r="BJ141" i="21" s="1"/>
  <c r="BF142" i="21" s="1"/>
  <c r="AT141" i="21"/>
  <c r="AU141" i="21" s="1"/>
  <c r="BL141" i="21"/>
  <c r="M159" i="19"/>
  <c r="O159" i="19" s="1"/>
  <c r="J160" i="19" s="1"/>
  <c r="U157" i="19"/>
  <c r="AJ138" i="21" l="1"/>
  <c r="AK138" i="21" s="1"/>
  <c r="AG139" i="21" s="1"/>
  <c r="AH139" i="21" s="1"/>
  <c r="AI139" i="21" s="1"/>
  <c r="AO138" i="21"/>
  <c r="AP138" i="21" s="1"/>
  <c r="AL139" i="21" s="1"/>
  <c r="BG142" i="21"/>
  <c r="BH142" i="21" s="1"/>
  <c r="AQ138" i="21"/>
  <c r="U138" i="21" s="1"/>
  <c r="V138" i="21" s="1"/>
  <c r="R139" i="21" s="1"/>
  <c r="L138" i="21"/>
  <c r="N138" i="21"/>
  <c r="AR138" i="21" s="1"/>
  <c r="AE138" i="21"/>
  <c r="AF138" i="21" s="1"/>
  <c r="AB139" i="21" s="1"/>
  <c r="CA141" i="21"/>
  <c r="BZ141" i="21"/>
  <c r="BS141" i="21" s="1"/>
  <c r="BT141" i="21" s="1"/>
  <c r="BP142" i="21" s="1"/>
  <c r="BQ142" i="21" s="1"/>
  <c r="BR142" i="21" s="1"/>
  <c r="BB142" i="21"/>
  <c r="BC142" i="21" s="1"/>
  <c r="BX141" i="21"/>
  <c r="BY141" i="21" s="1"/>
  <c r="BU142" i="21" s="1"/>
  <c r="Z149" i="21"/>
  <c r="AA149" i="21" s="1"/>
  <c r="W150" i="21" s="1"/>
  <c r="BM141" i="21"/>
  <c r="BN141" i="21" s="1"/>
  <c r="BO141" i="21" s="1"/>
  <c r="N159" i="19"/>
  <c r="V157" i="19"/>
  <c r="X157" i="19" s="1"/>
  <c r="S158" i="19" s="1"/>
  <c r="K160" i="19"/>
  <c r="L160" i="19"/>
  <c r="S139" i="21" l="1"/>
  <c r="T139" i="21" s="1"/>
  <c r="AM139" i="21"/>
  <c r="AN139" i="21" s="1"/>
  <c r="O138" i="21"/>
  <c r="P138" i="21" s="1"/>
  <c r="AY141" i="21"/>
  <c r="AZ141" i="21" s="1"/>
  <c r="AV142" i="21" s="1"/>
  <c r="AC139" i="21"/>
  <c r="AD139" i="21" s="1"/>
  <c r="BV142" i="21"/>
  <c r="BW142" i="21" s="1"/>
  <c r="X150" i="21"/>
  <c r="Y150" i="21" s="1"/>
  <c r="BK142" i="21"/>
  <c r="W157" i="19"/>
  <c r="M160" i="19"/>
  <c r="O160" i="19" s="1"/>
  <c r="J161" i="19" s="1"/>
  <c r="P160" i="19"/>
  <c r="T158" i="19"/>
  <c r="U158" i="19"/>
  <c r="V158" i="19" s="1"/>
  <c r="Q138" i="21" l="1"/>
  <c r="AT142" i="21"/>
  <c r="BZ142" i="21" s="1"/>
  <c r="BX142" i="21" s="1"/>
  <c r="BY142" i="21" s="1"/>
  <c r="BU143" i="21" s="1"/>
  <c r="M139" i="21"/>
  <c r="K139" i="21"/>
  <c r="AW142" i="21"/>
  <c r="AX142" i="21" s="1"/>
  <c r="BI142" i="21"/>
  <c r="BJ142" i="21" s="1"/>
  <c r="BF143" i="21" s="1"/>
  <c r="BD142" i="21"/>
  <c r="BE142" i="21" s="1"/>
  <c r="BA143" i="21" s="1"/>
  <c r="AU142" i="21"/>
  <c r="BL142" i="21"/>
  <c r="BS142" i="21"/>
  <c r="BT142" i="21" s="1"/>
  <c r="BP143" i="21" s="1"/>
  <c r="N160" i="19"/>
  <c r="K161" i="19"/>
  <c r="P161" i="19" s="1"/>
  <c r="L161" i="19"/>
  <c r="X158" i="19"/>
  <c r="S159" i="19" s="1"/>
  <c r="W158" i="19"/>
  <c r="Y158" i="19"/>
  <c r="AO139" i="21" l="1"/>
  <c r="AP139" i="21" s="1"/>
  <c r="AL140" i="21" s="1"/>
  <c r="AM140" i="21" s="1"/>
  <c r="AN140" i="21" s="1"/>
  <c r="AY142" i="21"/>
  <c r="AZ142" i="21" s="1"/>
  <c r="AV143" i="21" s="1"/>
  <c r="BG143" i="21"/>
  <c r="BH143" i="21" s="1"/>
  <c r="CA142" i="21"/>
  <c r="L139" i="21"/>
  <c r="AQ139" i="21"/>
  <c r="AJ139" i="21" s="1"/>
  <c r="AK139" i="21" s="1"/>
  <c r="AG140" i="21" s="1"/>
  <c r="N139" i="21"/>
  <c r="AR139" i="21" s="1"/>
  <c r="AE139" i="21"/>
  <c r="AF139" i="21" s="1"/>
  <c r="AB140" i="21" s="1"/>
  <c r="BB143" i="21"/>
  <c r="BC143" i="21" s="1"/>
  <c r="BV143" i="21"/>
  <c r="BW143" i="21" s="1"/>
  <c r="Z150" i="21"/>
  <c r="AA150" i="21" s="1"/>
  <c r="W151" i="21" s="1"/>
  <c r="BM142" i="21"/>
  <c r="BN142" i="21" s="1"/>
  <c r="BO142" i="21" s="1"/>
  <c r="BK143" i="21" s="1"/>
  <c r="BQ143" i="21"/>
  <c r="BR143" i="21" s="1"/>
  <c r="T159" i="19"/>
  <c r="U159" i="19" s="1"/>
  <c r="V159" i="19" s="1"/>
  <c r="M161" i="19"/>
  <c r="O161" i="19" s="1"/>
  <c r="J162" i="19" s="1"/>
  <c r="U139" i="21" l="1"/>
  <c r="V139" i="21" s="1"/>
  <c r="R140" i="21" s="1"/>
  <c r="O139" i="21"/>
  <c r="P139" i="21" s="1"/>
  <c r="Q139" i="21" s="1"/>
  <c r="AW143" i="21"/>
  <c r="AX143" i="21" s="1"/>
  <c r="BI143" i="21"/>
  <c r="BJ143" i="21" s="1"/>
  <c r="BF144" i="21" s="1"/>
  <c r="BD143" i="21"/>
  <c r="BE143" i="21" s="1"/>
  <c r="BA144" i="21" s="1"/>
  <c r="BS143" i="21"/>
  <c r="BT143" i="21" s="1"/>
  <c r="BP144" i="21" s="1"/>
  <c r="AC140" i="21"/>
  <c r="AD140" i="21" s="1"/>
  <c r="AH140" i="21"/>
  <c r="AI140" i="21" s="1"/>
  <c r="AT143" i="21"/>
  <c r="BZ143" i="21" s="1"/>
  <c r="BX143" i="21" s="1"/>
  <c r="BY143" i="21" s="1"/>
  <c r="BU144" i="21" s="1"/>
  <c r="X151" i="21"/>
  <c r="Y151" i="21"/>
  <c r="BL143" i="21"/>
  <c r="K162" i="19"/>
  <c r="L162" i="19"/>
  <c r="M162" i="19" s="1"/>
  <c r="W159" i="19"/>
  <c r="X159" i="19"/>
  <c r="S160" i="19" s="1"/>
  <c r="Y159" i="19"/>
  <c r="N161" i="19"/>
  <c r="S140" i="21" l="1"/>
  <c r="T140" i="21" s="1"/>
  <c r="CA143" i="21"/>
  <c r="AY143" i="21"/>
  <c r="AZ143" i="21" s="1"/>
  <c r="AV144" i="21" s="1"/>
  <c r="M140" i="21"/>
  <c r="AO140" i="21" s="1"/>
  <c r="AP140" i="21" s="1"/>
  <c r="AL141" i="21" s="1"/>
  <c r="K140" i="21"/>
  <c r="BG144" i="21"/>
  <c r="BH144" i="21" s="1"/>
  <c r="BB144" i="21"/>
  <c r="BC144" i="21" s="1"/>
  <c r="BV144" i="21"/>
  <c r="BW144" i="21" s="1"/>
  <c r="AU143" i="21"/>
  <c r="BQ144" i="21"/>
  <c r="BR144" i="21" s="1"/>
  <c r="BM143" i="21"/>
  <c r="T160" i="19"/>
  <c r="U160" i="19"/>
  <c r="V160" i="19" s="1"/>
  <c r="Y160" i="19"/>
  <c r="O162" i="19"/>
  <c r="J163" i="19" s="1"/>
  <c r="N162" i="19"/>
  <c r="P162" i="19"/>
  <c r="AM141" i="21" l="1"/>
  <c r="AN141" i="21" s="1"/>
  <c r="L140" i="21"/>
  <c r="AQ140" i="21"/>
  <c r="AJ140" i="21" s="1"/>
  <c r="AK140" i="21" s="1"/>
  <c r="AG141" i="21" s="1"/>
  <c r="AW144" i="21"/>
  <c r="AX144" i="21" s="1"/>
  <c r="N140" i="21"/>
  <c r="AR140" i="21" s="1"/>
  <c r="AE140" i="21"/>
  <c r="AF140" i="21" s="1"/>
  <c r="AB141" i="21" s="1"/>
  <c r="BN143" i="21"/>
  <c r="BO143" i="21" s="1"/>
  <c r="K163" i="19"/>
  <c r="P163" i="19" s="1"/>
  <c r="X160" i="19"/>
  <c r="S161" i="19" s="1"/>
  <c r="W160" i="19"/>
  <c r="U140" i="21" l="1"/>
  <c r="V140" i="21" s="1"/>
  <c r="R141" i="21" s="1"/>
  <c r="AC141" i="21"/>
  <c r="AH141" i="21"/>
  <c r="AI141" i="21" s="1"/>
  <c r="O140" i="21"/>
  <c r="Z151" i="21"/>
  <c r="AA151" i="21" s="1"/>
  <c r="W152" i="21" s="1"/>
  <c r="BK144" i="21"/>
  <c r="AT144" i="21"/>
  <c r="T161" i="19"/>
  <c r="L163" i="19"/>
  <c r="S141" i="21" l="1"/>
  <c r="T141" i="21" s="1"/>
  <c r="P140" i="21"/>
  <c r="Q140" i="21" s="1"/>
  <c r="AD141" i="21"/>
  <c r="BD144" i="21"/>
  <c r="BE144" i="21" s="1"/>
  <c r="BA145" i="21" s="1"/>
  <c r="BI144" i="21"/>
  <c r="BJ144" i="21" s="1"/>
  <c r="BF145" i="21" s="1"/>
  <c r="AY144" i="21"/>
  <c r="AZ144" i="21" s="1"/>
  <c r="AV145" i="21" s="1"/>
  <c r="X152" i="21"/>
  <c r="Y152" i="21" s="1"/>
  <c r="AU144" i="21"/>
  <c r="BZ144" i="21"/>
  <c r="BX144" i="21" s="1"/>
  <c r="BY144" i="21" s="1"/>
  <c r="BU145" i="21" s="1"/>
  <c r="BL144" i="21"/>
  <c r="CA144" i="21" s="1"/>
  <c r="BS144" i="21"/>
  <c r="BT144" i="21" s="1"/>
  <c r="BP145" i="21" s="1"/>
  <c r="Y161" i="19"/>
  <c r="M163" i="19"/>
  <c r="O163" i="19" s="1"/>
  <c r="J164" i="19" s="1"/>
  <c r="U161" i="19"/>
  <c r="AW145" i="21" l="1"/>
  <c r="AX145" i="21" s="1"/>
  <c r="BG145" i="21"/>
  <c r="BH145" i="21" s="1"/>
  <c r="BB145" i="21"/>
  <c r="BC145" i="21" s="1"/>
  <c r="M141" i="21"/>
  <c r="K141" i="21"/>
  <c r="BV145" i="21"/>
  <c r="BW145" i="21"/>
  <c r="BQ145" i="21"/>
  <c r="BR145" i="21" s="1"/>
  <c r="BM144" i="21"/>
  <c r="BN144" i="21" s="1"/>
  <c r="BO144" i="21" s="1"/>
  <c r="K164" i="19"/>
  <c r="V161" i="19"/>
  <c r="W161" i="19" s="1"/>
  <c r="N163" i="19"/>
  <c r="AO141" i="21" l="1"/>
  <c r="AP141" i="21" s="1"/>
  <c r="AL142" i="21" s="1"/>
  <c r="AM142" i="21" s="1"/>
  <c r="AN142" i="21" s="1"/>
  <c r="L141" i="21"/>
  <c r="AQ141" i="21"/>
  <c r="AJ141" i="21" s="1"/>
  <c r="AK141" i="21" s="1"/>
  <c r="AG142" i="21" s="1"/>
  <c r="N141" i="21"/>
  <c r="AR141" i="21" s="1"/>
  <c r="AE141" i="21"/>
  <c r="AF141" i="21" s="1"/>
  <c r="AB142" i="21" s="1"/>
  <c r="BK145" i="21"/>
  <c r="AT145" i="21"/>
  <c r="X161" i="19"/>
  <c r="S162" i="19" s="1"/>
  <c r="T162" i="19" s="1"/>
  <c r="U162" i="19" s="1"/>
  <c r="P164" i="19"/>
  <c r="L164" i="19"/>
  <c r="U141" i="21" l="1"/>
  <c r="V141" i="21" s="1"/>
  <c r="R142" i="21" s="1"/>
  <c r="AC142" i="21"/>
  <c r="BD145" i="21"/>
  <c r="BE145" i="21" s="1"/>
  <c r="BA146" i="21" s="1"/>
  <c r="BI145" i="21"/>
  <c r="BJ145" i="21" s="1"/>
  <c r="BF146" i="21" s="1"/>
  <c r="O141" i="21"/>
  <c r="AH142" i="21"/>
  <c r="AI142" i="21" s="1"/>
  <c r="Z152" i="21"/>
  <c r="AA152" i="21" s="1"/>
  <c r="W153" i="21" s="1"/>
  <c r="AU145" i="21"/>
  <c r="BZ145" i="21"/>
  <c r="BX145" i="21" s="1"/>
  <c r="BY145" i="21" s="1"/>
  <c r="BU146" i="21" s="1"/>
  <c r="BL145" i="21"/>
  <c r="CA145" i="21" s="1"/>
  <c r="BS145" i="21"/>
  <c r="BT145" i="21" s="1"/>
  <c r="BP146" i="21" s="1"/>
  <c r="V162" i="19"/>
  <c r="X162" i="19" s="1"/>
  <c r="S163" i="19" s="1"/>
  <c r="M164" i="19"/>
  <c r="N164" i="19" s="1"/>
  <c r="Y162" i="19"/>
  <c r="S142" i="21" l="1"/>
  <c r="T142" i="21" s="1"/>
  <c r="P141" i="21"/>
  <c r="Q141" i="21" s="1"/>
  <c r="AY145" i="21"/>
  <c r="AZ145" i="21" s="1"/>
  <c r="AV146" i="21" s="1"/>
  <c r="BG146" i="21"/>
  <c r="BH146" i="21" s="1"/>
  <c r="BB146" i="21"/>
  <c r="BC146" i="21" s="1"/>
  <c r="AD142" i="21"/>
  <c r="BV146" i="21"/>
  <c r="BW146" i="21" s="1"/>
  <c r="BM145" i="21"/>
  <c r="BN145" i="21" s="1"/>
  <c r="X153" i="21"/>
  <c r="Y153" i="21" s="1"/>
  <c r="BQ146" i="21"/>
  <c r="BR146" i="21" s="1"/>
  <c r="W162" i="19"/>
  <c r="T163" i="19"/>
  <c r="Y163" i="19" s="1"/>
  <c r="U163" i="19"/>
  <c r="O164" i="19"/>
  <c r="J165" i="19" s="1"/>
  <c r="M142" i="21" l="1"/>
  <c r="K142" i="21"/>
  <c r="AW146" i="21"/>
  <c r="AX146" i="21" s="1"/>
  <c r="BO145" i="21"/>
  <c r="AT146" i="21" s="1"/>
  <c r="K165" i="19"/>
  <c r="L165" i="19" s="1"/>
  <c r="V163" i="19"/>
  <c r="X163" i="19" s="1"/>
  <c r="S164" i="19" s="1"/>
  <c r="AO142" i="21" l="1"/>
  <c r="AP142" i="21" s="1"/>
  <c r="AL143" i="21" s="1"/>
  <c r="AM143" i="21" s="1"/>
  <c r="AN143" i="21" s="1"/>
  <c r="N142" i="21"/>
  <c r="AR142" i="21" s="1"/>
  <c r="AE142" i="21"/>
  <c r="AF142" i="21" s="1"/>
  <c r="AB143" i="21" s="1"/>
  <c r="AJ142" i="21"/>
  <c r="AK142" i="21" s="1"/>
  <c r="AG143" i="21" s="1"/>
  <c r="L142" i="21"/>
  <c r="AQ142" i="21"/>
  <c r="U142" i="21" s="1"/>
  <c r="V142" i="21" s="1"/>
  <c r="R143" i="21" s="1"/>
  <c r="BK146" i="21"/>
  <c r="AU146" i="21"/>
  <c r="BZ146" i="21"/>
  <c r="Z153" i="21"/>
  <c r="AA153" i="21" s="1"/>
  <c r="W154" i="21" s="1"/>
  <c r="W163" i="19"/>
  <c r="T164" i="19"/>
  <c r="U164" i="19"/>
  <c r="V164" i="19" s="1"/>
  <c r="M165" i="19"/>
  <c r="O165" i="19" s="1"/>
  <c r="J166" i="19" s="1"/>
  <c r="P165" i="19"/>
  <c r="S143" i="21" l="1"/>
  <c r="T143" i="21" s="1"/>
  <c r="O142" i="21"/>
  <c r="AC143" i="21"/>
  <c r="P142" i="21"/>
  <c r="Q142" i="21" s="1"/>
  <c r="AH143" i="21"/>
  <c r="AI143" i="21" s="1"/>
  <c r="BI146" i="21"/>
  <c r="BJ146" i="21" s="1"/>
  <c r="BF147" i="21" s="1"/>
  <c r="BD146" i="21"/>
  <c r="BE146" i="21" s="1"/>
  <c r="BA147" i="21" s="1"/>
  <c r="AY146" i="21"/>
  <c r="AZ146" i="21" s="1"/>
  <c r="AV147" i="21" s="1"/>
  <c r="BX146" i="21"/>
  <c r="BY146" i="21" s="1"/>
  <c r="BU147" i="21" s="1"/>
  <c r="BV147" i="21" s="1"/>
  <c r="BW147" i="21" s="1"/>
  <c r="BL146" i="21"/>
  <c r="CA146" i="21" s="1"/>
  <c r="BS146" i="21"/>
  <c r="BT146" i="21" s="1"/>
  <c r="BP147" i="21" s="1"/>
  <c r="BQ147" i="21" s="1"/>
  <c r="BR147" i="21" s="1"/>
  <c r="X154" i="21"/>
  <c r="Y154" i="21"/>
  <c r="N165" i="19"/>
  <c r="K166" i="19"/>
  <c r="L166" i="19" s="1"/>
  <c r="M166" i="19" s="1"/>
  <c r="X164" i="19"/>
  <c r="S165" i="19" s="1"/>
  <c r="W164" i="19"/>
  <c r="Y164" i="19"/>
  <c r="M143" i="21" l="1"/>
  <c r="K143" i="21"/>
  <c r="AW147" i="21"/>
  <c r="AX147" i="21" s="1"/>
  <c r="BG147" i="21"/>
  <c r="BH147" i="21" s="1"/>
  <c r="BB147" i="21"/>
  <c r="BC147" i="21" s="1"/>
  <c r="AD143" i="21"/>
  <c r="AE143" i="21" s="1"/>
  <c r="AF143" i="21" s="1"/>
  <c r="AB144" i="21" s="1"/>
  <c r="BM146" i="21"/>
  <c r="P166" i="19"/>
  <c r="T165" i="19"/>
  <c r="U165" i="19"/>
  <c r="V165" i="19" s="1"/>
  <c r="Y165" i="19"/>
  <c r="O166" i="19"/>
  <c r="J167" i="19" s="1"/>
  <c r="N166" i="19"/>
  <c r="AO143" i="21" l="1"/>
  <c r="AP143" i="21" s="1"/>
  <c r="AL144" i="21" s="1"/>
  <c r="AM144" i="21" s="1"/>
  <c r="AN144" i="21" s="1"/>
  <c r="AC144" i="21"/>
  <c r="L143" i="21"/>
  <c r="AQ143" i="21"/>
  <c r="U143" i="21" s="1"/>
  <c r="V143" i="21" s="1"/>
  <c r="R144" i="21" s="1"/>
  <c r="N143" i="21"/>
  <c r="AR143" i="21" s="1"/>
  <c r="AJ143" i="21"/>
  <c r="AK143" i="21" s="1"/>
  <c r="AG144" i="21" s="1"/>
  <c r="BN146" i="21"/>
  <c r="BO146" i="21" s="1"/>
  <c r="Z154" i="21"/>
  <c r="AA154" i="21" s="1"/>
  <c r="W155" i="21" s="1"/>
  <c r="K167" i="19"/>
  <c r="L167" i="19" s="1"/>
  <c r="X165" i="19"/>
  <c r="S166" i="19" s="1"/>
  <c r="W165" i="19"/>
  <c r="S144" i="21" l="1"/>
  <c r="T144" i="21" s="1"/>
  <c r="AH144" i="21"/>
  <c r="AI144" i="21" s="1"/>
  <c r="AD144" i="21"/>
  <c r="O143" i="21"/>
  <c r="AT147" i="21"/>
  <c r="AU147" i="21" s="1"/>
  <c r="BK147" i="21"/>
  <c r="BX147" i="21"/>
  <c r="BY147" i="21" s="1"/>
  <c r="BU148" i="21" s="1"/>
  <c r="X155" i="21"/>
  <c r="Y155" i="21" s="1"/>
  <c r="T166" i="19"/>
  <c r="U166" i="19" s="1"/>
  <c r="V166" i="19" s="1"/>
  <c r="X166" i="19" s="1"/>
  <c r="S167" i="19" s="1"/>
  <c r="M167" i="19"/>
  <c r="O167" i="19" s="1"/>
  <c r="J168" i="19" s="1"/>
  <c r="P167" i="19"/>
  <c r="BL147" i="21" l="1"/>
  <c r="BI147" i="21"/>
  <c r="BJ147" i="21" s="1"/>
  <c r="BF148" i="21" s="1"/>
  <c r="BD147" i="21"/>
  <c r="BE147" i="21" s="1"/>
  <c r="BA148" i="21" s="1"/>
  <c r="P143" i="21"/>
  <c r="Q143" i="21" s="1"/>
  <c r="BZ147" i="21"/>
  <c r="BS147" i="21" s="1"/>
  <c r="BT147" i="21" s="1"/>
  <c r="BP148" i="21" s="1"/>
  <c r="BQ148" i="21" s="1"/>
  <c r="BR148" i="21" s="1"/>
  <c r="CA147" i="21"/>
  <c r="BM147" i="21"/>
  <c r="BV148" i="21"/>
  <c r="BW148" i="21" s="1"/>
  <c r="K168" i="19"/>
  <c r="L168" i="19" s="1"/>
  <c r="T167" i="19"/>
  <c r="U167" i="19"/>
  <c r="V167" i="19" s="1"/>
  <c r="N167" i="19"/>
  <c r="W166" i="19"/>
  <c r="Y166" i="19"/>
  <c r="M144" i="21" l="1"/>
  <c r="K144" i="21"/>
  <c r="AY147" i="21"/>
  <c r="AZ147" i="21" s="1"/>
  <c r="AV148" i="21" s="1"/>
  <c r="BB148" i="21"/>
  <c r="BC148" i="21" s="1"/>
  <c r="BG148" i="21"/>
  <c r="BH148" i="21" s="1"/>
  <c r="BN147" i="21"/>
  <c r="BO147" i="21" s="1"/>
  <c r="P168" i="19"/>
  <c r="Z155" i="21"/>
  <c r="AA155" i="21" s="1"/>
  <c r="W156" i="21" s="1"/>
  <c r="X167" i="19"/>
  <c r="S168" i="19" s="1"/>
  <c r="Y167" i="19"/>
  <c r="M168" i="19"/>
  <c r="O168" i="19" s="1"/>
  <c r="J169" i="19" s="1"/>
  <c r="W167" i="19"/>
  <c r="AO144" i="21" l="1"/>
  <c r="AP144" i="21" s="1"/>
  <c r="AL145" i="21" s="1"/>
  <c r="AM145" i="21" s="1"/>
  <c r="AN145" i="21" s="1"/>
  <c r="AW148" i="21"/>
  <c r="AX148" i="21" s="1"/>
  <c r="L144" i="21"/>
  <c r="AQ144" i="21"/>
  <c r="U144" i="21" s="1"/>
  <c r="V144" i="21" s="1"/>
  <c r="R145" i="21" s="1"/>
  <c r="N144" i="21"/>
  <c r="AR144" i="21" s="1"/>
  <c r="AJ144" i="21"/>
  <c r="AK144" i="21" s="1"/>
  <c r="AG145" i="21" s="1"/>
  <c r="AE144" i="21"/>
  <c r="AF144" i="21" s="1"/>
  <c r="AB145" i="21" s="1"/>
  <c r="BK148" i="21"/>
  <c r="AT148" i="21"/>
  <c r="BZ148" i="21" s="1"/>
  <c r="BX148" i="21" s="1"/>
  <c r="BY148" i="21" s="1"/>
  <c r="BU149" i="21" s="1"/>
  <c r="X156" i="21"/>
  <c r="Y156" i="21" s="1"/>
  <c r="N168" i="19"/>
  <c r="K169" i="19"/>
  <c r="L169" i="19"/>
  <c r="T168" i="19"/>
  <c r="Y168" i="19" s="1"/>
  <c r="U168" i="19"/>
  <c r="AO145" i="21" l="1"/>
  <c r="S145" i="21"/>
  <c r="T145" i="21" s="1"/>
  <c r="AP145" i="21"/>
  <c r="AL146" i="21" s="1"/>
  <c r="AM146" i="21" s="1"/>
  <c r="AN146" i="21" s="1"/>
  <c r="AY148" i="21"/>
  <c r="AZ148" i="21" s="1"/>
  <c r="AV149" i="21" s="1"/>
  <c r="AO146" i="21"/>
  <c r="BS148" i="21"/>
  <c r="BT148" i="21" s="1"/>
  <c r="BP149" i="21" s="1"/>
  <c r="BQ149" i="21" s="1"/>
  <c r="BR149" i="21" s="1"/>
  <c r="BD148" i="21"/>
  <c r="BE148" i="21" s="1"/>
  <c r="BA149" i="21" s="1"/>
  <c r="BI148" i="21"/>
  <c r="BJ148" i="21" s="1"/>
  <c r="BF149" i="21" s="1"/>
  <c r="AH145" i="21"/>
  <c r="AI145" i="21" s="1"/>
  <c r="AU148" i="21"/>
  <c r="AC145" i="21"/>
  <c r="AD145" i="21" s="1"/>
  <c r="O144" i="21"/>
  <c r="BL148" i="21"/>
  <c r="BM148" i="21" s="1"/>
  <c r="BN148" i="21" s="1"/>
  <c r="BO148" i="21" s="1"/>
  <c r="BV149" i="21"/>
  <c r="BW149" i="21" s="1"/>
  <c r="V168" i="19"/>
  <c r="X168" i="19" s="1"/>
  <c r="S169" i="19" s="1"/>
  <c r="W168" i="19"/>
  <c r="M169" i="19"/>
  <c r="O169" i="19" s="1"/>
  <c r="J170" i="19" s="1"/>
  <c r="P169" i="19"/>
  <c r="AP146" i="21" l="1"/>
  <c r="AL147" i="21" s="1"/>
  <c r="AM147" i="21" s="1"/>
  <c r="AN147" i="21" s="1"/>
  <c r="AW149" i="21"/>
  <c r="AX149" i="21"/>
  <c r="P144" i="21"/>
  <c r="Q144" i="21" s="1"/>
  <c r="BG149" i="21"/>
  <c r="BH149" i="21"/>
  <c r="CA148" i="21"/>
  <c r="BB149" i="21"/>
  <c r="BC149" i="21" s="1"/>
  <c r="BK149" i="21"/>
  <c r="BD149" i="21" s="1"/>
  <c r="AT149" i="21"/>
  <c r="Z156" i="21"/>
  <c r="AA156" i="21" s="1"/>
  <c r="W157" i="21" s="1"/>
  <c r="K170" i="19"/>
  <c r="L170" i="19" s="1"/>
  <c r="T169" i="19"/>
  <c r="U169" i="19"/>
  <c r="V169" i="19" s="1"/>
  <c r="N169" i="19"/>
  <c r="AO147" i="21" l="1"/>
  <c r="AP147" i="21" s="1"/>
  <c r="AL148" i="21" s="1"/>
  <c r="AM148" i="21" s="1"/>
  <c r="BE149" i="21"/>
  <c r="BA150" i="21" s="1"/>
  <c r="BB150" i="21" s="1"/>
  <c r="BC150" i="21" s="1"/>
  <c r="M145" i="21"/>
  <c r="K145" i="21"/>
  <c r="AU149" i="21"/>
  <c r="BZ149" i="21"/>
  <c r="BS149" i="21" s="1"/>
  <c r="BT149" i="21" s="1"/>
  <c r="BP150" i="21" s="1"/>
  <c r="BL149" i="21"/>
  <c r="CA149" i="21" s="1"/>
  <c r="BX149" i="21"/>
  <c r="BY149" i="21" s="1"/>
  <c r="BU150" i="21" s="1"/>
  <c r="X157" i="21"/>
  <c r="Y157" i="21" s="1"/>
  <c r="P170" i="19"/>
  <c r="X169" i="19"/>
  <c r="S170" i="19" s="1"/>
  <c r="M170" i="19"/>
  <c r="O170" i="19" s="1"/>
  <c r="J171" i="19" s="1"/>
  <c r="W169" i="19"/>
  <c r="Y169" i="19"/>
  <c r="AO148" i="21" l="1"/>
  <c r="AN148" i="21"/>
  <c r="AY149" i="21"/>
  <c r="AZ149" i="21" s="1"/>
  <c r="AV150" i="21" s="1"/>
  <c r="AQ145" i="21"/>
  <c r="U145" i="21" s="1"/>
  <c r="V145" i="21" s="1"/>
  <c r="R146" i="21" s="1"/>
  <c r="L145" i="21"/>
  <c r="N145" i="21"/>
  <c r="AR145" i="21" s="1"/>
  <c r="AJ145" i="21"/>
  <c r="AK145" i="21" s="1"/>
  <c r="AG146" i="21" s="1"/>
  <c r="AE145" i="21"/>
  <c r="AF145" i="21" s="1"/>
  <c r="AB146" i="21" s="1"/>
  <c r="BI149" i="21"/>
  <c r="BJ149" i="21" s="1"/>
  <c r="BF150" i="21" s="1"/>
  <c r="BM149" i="21"/>
  <c r="BN149" i="21" s="1"/>
  <c r="BV150" i="21"/>
  <c r="BW150" i="21" s="1"/>
  <c r="BQ150" i="21"/>
  <c r="BR150" i="21" s="1"/>
  <c r="N170" i="19"/>
  <c r="K171" i="19"/>
  <c r="L171" i="19" s="1"/>
  <c r="M171" i="19" s="1"/>
  <c r="T170" i="19"/>
  <c r="U170" i="19" s="1"/>
  <c r="AP148" i="21" l="1"/>
  <c r="AL149" i="21" s="1"/>
  <c r="AM149" i="21" s="1"/>
  <c r="AN149" i="21" s="1"/>
  <c r="AO149" i="21"/>
  <c r="S146" i="21"/>
  <c r="T146" i="21" s="1"/>
  <c r="AW150" i="21"/>
  <c r="AX150" i="21" s="1"/>
  <c r="O145" i="21"/>
  <c r="P145" i="21" s="1"/>
  <c r="Q145" i="21" s="1"/>
  <c r="BG150" i="21"/>
  <c r="BH150" i="21" s="1"/>
  <c r="AH146" i="21"/>
  <c r="AI146" i="21" s="1"/>
  <c r="BO149" i="21"/>
  <c r="BK150" i="21" s="1"/>
  <c r="BL150" i="21" s="1"/>
  <c r="AC146" i="21"/>
  <c r="BX150" i="21"/>
  <c r="BY150" i="21" s="1"/>
  <c r="BU151" i="21" s="1"/>
  <c r="V170" i="19"/>
  <c r="X170" i="19" s="1"/>
  <c r="S171" i="19" s="1"/>
  <c r="Y170" i="19"/>
  <c r="O171" i="19"/>
  <c r="J172" i="19" s="1"/>
  <c r="N171" i="19"/>
  <c r="P171" i="19"/>
  <c r="AP149" i="21" l="1"/>
  <c r="AL150" i="21" s="1"/>
  <c r="CA150" i="21"/>
  <c r="M146" i="21"/>
  <c r="K146" i="21"/>
  <c r="BD150" i="21"/>
  <c r="BE150" i="21" s="1"/>
  <c r="BA151" i="21" s="1"/>
  <c r="BM150" i="21"/>
  <c r="AT150" i="21"/>
  <c r="AD146" i="21"/>
  <c r="BN150" i="21"/>
  <c r="BV151" i="21"/>
  <c r="BW151" i="21" s="1"/>
  <c r="Z157" i="21"/>
  <c r="AA157" i="21" s="1"/>
  <c r="W158" i="21" s="1"/>
  <c r="W170" i="19"/>
  <c r="T171" i="19"/>
  <c r="U171" i="19"/>
  <c r="K172" i="19"/>
  <c r="L172" i="19" s="1"/>
  <c r="Y171" i="19"/>
  <c r="AM150" i="21" l="1"/>
  <c r="AN150" i="21" s="1"/>
  <c r="AO150" i="21"/>
  <c r="AE146" i="21"/>
  <c r="AF146" i="21" s="1"/>
  <c r="AB147" i="21" s="1"/>
  <c r="BB151" i="21"/>
  <c r="BC151" i="21" s="1"/>
  <c r="AU150" i="21"/>
  <c r="BZ150" i="21"/>
  <c r="AY150" i="21" s="1"/>
  <c r="AZ150" i="21" s="1"/>
  <c r="AV151" i="21" s="1"/>
  <c r="BO150" i="21"/>
  <c r="BK151" i="21" s="1"/>
  <c r="BL151" i="21" s="1"/>
  <c r="AQ146" i="21"/>
  <c r="U146" i="21" s="1"/>
  <c r="V146" i="21" s="1"/>
  <c r="R147" i="21" s="1"/>
  <c r="L146" i="21"/>
  <c r="N146" i="21"/>
  <c r="AR146" i="21" s="1"/>
  <c r="AJ146" i="21"/>
  <c r="AK146" i="21" s="1"/>
  <c r="AG147" i="21" s="1"/>
  <c r="X158" i="21"/>
  <c r="Y158" i="21" s="1"/>
  <c r="M172" i="19"/>
  <c r="O172" i="19" s="1"/>
  <c r="J173" i="19" s="1"/>
  <c r="V171" i="19"/>
  <c r="X171" i="19" s="1"/>
  <c r="S172" i="19" s="1"/>
  <c r="P172" i="19"/>
  <c r="AC147" i="21" l="1"/>
  <c r="AD147" i="21" s="1"/>
  <c r="AP150" i="21"/>
  <c r="AL151" i="21" s="1"/>
  <c r="S147" i="21"/>
  <c r="T147" i="21" s="1"/>
  <c r="AW151" i="21"/>
  <c r="AX151" i="21"/>
  <c r="BS150" i="21"/>
  <c r="BT150" i="21" s="1"/>
  <c r="BP151" i="21" s="1"/>
  <c r="BQ151" i="21" s="1"/>
  <c r="BR151" i="21" s="1"/>
  <c r="BI150" i="21"/>
  <c r="BJ150" i="21" s="1"/>
  <c r="AH147" i="21"/>
  <c r="AI147" i="21" s="1"/>
  <c r="BM151" i="21"/>
  <c r="O146" i="21"/>
  <c r="BX151" i="21"/>
  <c r="BY151" i="21" s="1"/>
  <c r="BU152" i="21" s="1"/>
  <c r="N172" i="19"/>
  <c r="W171" i="19"/>
  <c r="T172" i="19"/>
  <c r="U172" i="19"/>
  <c r="V172" i="19" s="1"/>
  <c r="K173" i="19"/>
  <c r="AM151" i="21" l="1"/>
  <c r="AN151" i="21" s="1"/>
  <c r="AO151" i="21"/>
  <c r="AP151" i="21"/>
  <c r="AL152" i="21" s="1"/>
  <c r="P146" i="21"/>
  <c r="Q146" i="21" s="1"/>
  <c r="BF151" i="21"/>
  <c r="AT151" i="21"/>
  <c r="BV152" i="21"/>
  <c r="BW152" i="21" s="1"/>
  <c r="Z158" i="21"/>
  <c r="AA158" i="21" s="1"/>
  <c r="W159" i="21" s="1"/>
  <c r="L173" i="19"/>
  <c r="X172" i="19"/>
  <c r="S173" i="19" s="1"/>
  <c r="P173" i="19"/>
  <c r="W172" i="19"/>
  <c r="Y172" i="19"/>
  <c r="AM152" i="21" l="1"/>
  <c r="AN152" i="21" s="1"/>
  <c r="AO152" i="21"/>
  <c r="AP152" i="21" s="1"/>
  <c r="AL153" i="21" s="1"/>
  <c r="M147" i="21"/>
  <c r="K147" i="21"/>
  <c r="AU151" i="21"/>
  <c r="BZ151" i="21"/>
  <c r="BS151" i="21" s="1"/>
  <c r="BT151" i="21" s="1"/>
  <c r="BP152" i="21" s="1"/>
  <c r="BQ152" i="21" s="1"/>
  <c r="BR152" i="21" s="1"/>
  <c r="BG151" i="21"/>
  <c r="CA151" i="21" s="1"/>
  <c r="BN151" i="21"/>
  <c r="BO151" i="21" s="1"/>
  <c r="BK152" i="21" s="1"/>
  <c r="BL152" i="21" s="1"/>
  <c r="X159" i="21"/>
  <c r="Y159" i="21" s="1"/>
  <c r="T173" i="19"/>
  <c r="U173" i="19"/>
  <c r="V173" i="19" s="1"/>
  <c r="M173" i="19"/>
  <c r="N173" i="19" s="1"/>
  <c r="AM153" i="21" l="1"/>
  <c r="AN153" i="21" s="1"/>
  <c r="AO153" i="21"/>
  <c r="AP153" i="21"/>
  <c r="AL154" i="21" s="1"/>
  <c r="AY151" i="21"/>
  <c r="AZ151" i="21" s="1"/>
  <c r="AV152" i="21" s="1"/>
  <c r="BH151" i="21"/>
  <c r="BI151" i="21" s="1"/>
  <c r="BJ151" i="21" s="1"/>
  <c r="BF152" i="21" s="1"/>
  <c r="L147" i="21"/>
  <c r="AQ147" i="21"/>
  <c r="U147" i="21" s="1"/>
  <c r="V147" i="21" s="1"/>
  <c r="R148" i="21" s="1"/>
  <c r="BD151" i="21"/>
  <c r="BE151" i="21" s="1"/>
  <c r="N147" i="21"/>
  <c r="AR147" i="21" s="1"/>
  <c r="AE147" i="21"/>
  <c r="AF147" i="21" s="1"/>
  <c r="AB148" i="21" s="1"/>
  <c r="AJ147" i="21"/>
  <c r="AK147" i="21" s="1"/>
  <c r="AG148" i="21" s="1"/>
  <c r="BX152" i="21"/>
  <c r="BY152" i="21" s="1"/>
  <c r="BU153" i="21" s="1"/>
  <c r="BM152" i="21"/>
  <c r="X173" i="19"/>
  <c r="S174" i="19" s="1"/>
  <c r="O173" i="19"/>
  <c r="J174" i="19" s="1"/>
  <c r="W173" i="19"/>
  <c r="Y173" i="19"/>
  <c r="AM154" i="21" l="1"/>
  <c r="AN154" i="21" s="1"/>
  <c r="AO154" i="21"/>
  <c r="AP154" i="21" s="1"/>
  <c r="AL155" i="21" s="1"/>
  <c r="AM155" i="21" s="1"/>
  <c r="AN155" i="21" s="1"/>
  <c r="S148" i="21"/>
  <c r="T148" i="21" s="1"/>
  <c r="AW152" i="21"/>
  <c r="AX152" i="21" s="1"/>
  <c r="BG152" i="21"/>
  <c r="BH152" i="21" s="1"/>
  <c r="AC148" i="21"/>
  <c r="AD148" i="21" s="1"/>
  <c r="O147" i="21"/>
  <c r="BA152" i="21"/>
  <c r="BN152" i="21" s="1"/>
  <c r="BO152" i="21" s="1"/>
  <c r="AT152" i="21"/>
  <c r="AH148" i="21"/>
  <c r="AI148" i="21" s="1"/>
  <c r="BV153" i="21"/>
  <c r="BW153" i="21" s="1"/>
  <c r="AO155" i="21"/>
  <c r="AP155" i="21" s="1"/>
  <c r="AL156" i="21" s="1"/>
  <c r="K174" i="19"/>
  <c r="L174" i="19" s="1"/>
  <c r="M174" i="19" s="1"/>
  <c r="T174" i="19"/>
  <c r="U174" i="19"/>
  <c r="AU152" i="21" l="1"/>
  <c r="BZ152" i="21"/>
  <c r="BS152" i="21" s="1"/>
  <c r="BT152" i="21" s="1"/>
  <c r="BP153" i="21" s="1"/>
  <c r="BQ153" i="21" s="1"/>
  <c r="BR153" i="21" s="1"/>
  <c r="P147" i="21"/>
  <c r="Q147" i="21" s="1"/>
  <c r="BB152" i="21"/>
  <c r="CA152" i="21" s="1"/>
  <c r="AM156" i="21"/>
  <c r="AN156" i="21" s="1"/>
  <c r="BK153" i="21"/>
  <c r="BL153" i="21" s="1"/>
  <c r="Z159" i="21"/>
  <c r="AA159" i="21" s="1"/>
  <c r="W160" i="21" s="1"/>
  <c r="V174" i="19"/>
  <c r="X174" i="19" s="1"/>
  <c r="S175" i="19" s="1"/>
  <c r="Y174" i="19"/>
  <c r="O174" i="19"/>
  <c r="J175" i="19" s="1"/>
  <c r="N174" i="19"/>
  <c r="P174" i="19"/>
  <c r="AY152" i="21" l="1"/>
  <c r="AZ152" i="21" s="1"/>
  <c r="AV153" i="21" s="1"/>
  <c r="BI152" i="21"/>
  <c r="BJ152" i="21" s="1"/>
  <c r="BF153" i="21" s="1"/>
  <c r="M148" i="21"/>
  <c r="K148" i="21"/>
  <c r="BC152" i="21"/>
  <c r="BX153" i="21"/>
  <c r="BY153" i="21" s="1"/>
  <c r="BU154" i="21" s="1"/>
  <c r="BM153" i="21"/>
  <c r="X160" i="21"/>
  <c r="Y160" i="21" s="1"/>
  <c r="T175" i="19"/>
  <c r="U175" i="19" s="1"/>
  <c r="K175" i="19"/>
  <c r="L175" i="19"/>
  <c r="M175" i="19" s="1"/>
  <c r="W174" i="19"/>
  <c r="AW153" i="21" l="1"/>
  <c r="AX153" i="21"/>
  <c r="BG153" i="21"/>
  <c r="BH153" i="21" s="1"/>
  <c r="AQ148" i="21"/>
  <c r="U148" i="21" s="1"/>
  <c r="V148" i="21" s="1"/>
  <c r="R149" i="21" s="1"/>
  <c r="L148" i="21"/>
  <c r="BD152" i="21"/>
  <c r="BE152" i="21" s="1"/>
  <c r="N148" i="21"/>
  <c r="AR148" i="21" s="1"/>
  <c r="AJ148" i="21"/>
  <c r="AK148" i="21" s="1"/>
  <c r="AG149" i="21" s="1"/>
  <c r="AE148" i="21"/>
  <c r="AF148" i="21" s="1"/>
  <c r="AB149" i="21" s="1"/>
  <c r="BV154" i="21"/>
  <c r="BW154" i="21" s="1"/>
  <c r="AO156" i="21"/>
  <c r="AP156" i="21" s="1"/>
  <c r="AL157" i="21" s="1"/>
  <c r="Z160" i="21"/>
  <c r="AA160" i="21" s="1"/>
  <c r="W161" i="21" s="1"/>
  <c r="Y175" i="19"/>
  <c r="O175" i="19"/>
  <c r="J176" i="19" s="1"/>
  <c r="N175" i="19"/>
  <c r="V175" i="19"/>
  <c r="X175" i="19" s="1"/>
  <c r="S176" i="19" s="1"/>
  <c r="P175" i="19"/>
  <c r="S149" i="21" l="1"/>
  <c r="T149" i="21" s="1"/>
  <c r="O148" i="21"/>
  <c r="AH149" i="21"/>
  <c r="AI149" i="21" s="1"/>
  <c r="BA153" i="21"/>
  <c r="AT153" i="21"/>
  <c r="AC149" i="21"/>
  <c r="AD149" i="21" s="1"/>
  <c r="AM157" i="21"/>
  <c r="AN157" i="21" s="1"/>
  <c r="X161" i="21"/>
  <c r="Y161" i="21"/>
  <c r="T176" i="19"/>
  <c r="U176" i="19"/>
  <c r="V176" i="19" s="1"/>
  <c r="X176" i="19" s="1"/>
  <c r="S177" i="19" s="1"/>
  <c r="W175" i="19"/>
  <c r="K176" i="19"/>
  <c r="AU153" i="21" l="1"/>
  <c r="BZ153" i="21"/>
  <c r="BI153" i="21" s="1"/>
  <c r="BJ153" i="21" s="1"/>
  <c r="BF154" i="21" s="1"/>
  <c r="BB153" i="21"/>
  <c r="CA153" i="21" s="1"/>
  <c r="BS153" i="21"/>
  <c r="BT153" i="21" s="1"/>
  <c r="BP154" i="21" s="1"/>
  <c r="BQ154" i="21" s="1"/>
  <c r="BR154" i="21" s="1"/>
  <c r="BN153" i="21"/>
  <c r="BO153" i="21" s="1"/>
  <c r="BK154" i="21" s="1"/>
  <c r="BL154" i="21" s="1"/>
  <c r="P148" i="21"/>
  <c r="Q148" i="21" s="1"/>
  <c r="T177" i="19"/>
  <c r="U177" i="19"/>
  <c r="V177" i="19" s="1"/>
  <c r="P176" i="19"/>
  <c r="L176" i="19"/>
  <c r="W176" i="19"/>
  <c r="Y176" i="19"/>
  <c r="Y177" i="19" s="1"/>
  <c r="AY153" i="21" l="1"/>
  <c r="AZ153" i="21" s="1"/>
  <c r="AV154" i="21" s="1"/>
  <c r="BG154" i="21"/>
  <c r="BH154" i="21" s="1"/>
  <c r="BC153" i="21"/>
  <c r="BD153" i="21"/>
  <c r="M149" i="21"/>
  <c r="K149" i="21"/>
  <c r="AO157" i="21"/>
  <c r="AP157" i="21" s="1"/>
  <c r="AL158" i="21" s="1"/>
  <c r="BM154" i="21"/>
  <c r="Z161" i="21"/>
  <c r="AA161" i="21" s="1"/>
  <c r="W162" i="21" s="1"/>
  <c r="X177" i="19"/>
  <c r="S178" i="19" s="1"/>
  <c r="M176" i="19"/>
  <c r="O176" i="19" s="1"/>
  <c r="J177" i="19" s="1"/>
  <c r="W177" i="19"/>
  <c r="AW154" i="21" l="1"/>
  <c r="AX154" i="21" s="1"/>
  <c r="BE153" i="21"/>
  <c r="BA154" i="21" s="1"/>
  <c r="AQ149" i="21"/>
  <c r="U149" i="21" s="1"/>
  <c r="V149" i="21" s="1"/>
  <c r="R150" i="21" s="1"/>
  <c r="L149" i="21"/>
  <c r="N149" i="21"/>
  <c r="AR149" i="21" s="1"/>
  <c r="AJ149" i="21"/>
  <c r="AK149" i="21" s="1"/>
  <c r="AG150" i="21" s="1"/>
  <c r="AE149" i="21"/>
  <c r="AF149" i="21" s="1"/>
  <c r="AB150" i="21" s="1"/>
  <c r="AM158" i="21"/>
  <c r="AN158" i="21" s="1"/>
  <c r="Z162" i="21"/>
  <c r="X162" i="21"/>
  <c r="Y162" i="21" s="1"/>
  <c r="N176" i="19"/>
  <c r="K177" i="19"/>
  <c r="L177" i="19" s="1"/>
  <c r="T178" i="19"/>
  <c r="U178" i="19"/>
  <c r="S150" i="21" l="1"/>
  <c r="T150" i="21" s="1"/>
  <c r="BI154" i="21"/>
  <c r="BJ154" i="21" s="1"/>
  <c r="BF155" i="21" s="1"/>
  <c r="BG155" i="21" s="1"/>
  <c r="AT154" i="21"/>
  <c r="BZ154" i="21" s="1"/>
  <c r="BX154" i="21" s="1"/>
  <c r="BY154" i="21" s="1"/>
  <c r="BU155" i="21" s="1"/>
  <c r="BB154" i="21"/>
  <c r="CA154" i="21" s="1"/>
  <c r="BS154" i="21"/>
  <c r="BT154" i="21" s="1"/>
  <c r="BP155" i="21" s="1"/>
  <c r="BQ155" i="21" s="1"/>
  <c r="BR155" i="21" s="1"/>
  <c r="AC150" i="21"/>
  <c r="AD150" i="21" s="1"/>
  <c r="AH150" i="21"/>
  <c r="AI150" i="21" s="1"/>
  <c r="AU154" i="21"/>
  <c r="BN154" i="21"/>
  <c r="BO154" i="21" s="1"/>
  <c r="BK155" i="21" s="1"/>
  <c r="O149" i="21"/>
  <c r="AA162" i="21"/>
  <c r="W163" i="21" s="1"/>
  <c r="Y163" i="21" s="1"/>
  <c r="V178" i="19"/>
  <c r="X178" i="19" s="1"/>
  <c r="S179" i="19" s="1"/>
  <c r="Y178" i="19"/>
  <c r="M177" i="19"/>
  <c r="O177" i="19" s="1"/>
  <c r="J178" i="19" s="1"/>
  <c r="P177" i="19"/>
  <c r="BH155" i="21" l="1"/>
  <c r="AY154" i="21"/>
  <c r="AZ154" i="21" s="1"/>
  <c r="AV155" i="21" s="1"/>
  <c r="X163" i="21"/>
  <c r="P149" i="21"/>
  <c r="Q149" i="21" s="1"/>
  <c r="BX155" i="21"/>
  <c r="BW155" i="21"/>
  <c r="BV155" i="21"/>
  <c r="BC154" i="21"/>
  <c r="AO158" i="21"/>
  <c r="AP158" i="21" s="1"/>
  <c r="AL159" i="21" s="1"/>
  <c r="BL155" i="21"/>
  <c r="W178" i="19"/>
  <c r="N177" i="19"/>
  <c r="K178" i="19"/>
  <c r="P178" i="19" s="1"/>
  <c r="L178" i="19"/>
  <c r="M178" i="19" s="1"/>
  <c r="O178" i="19" s="1"/>
  <c r="J179" i="19" s="1"/>
  <c r="T179" i="19"/>
  <c r="U179" i="19"/>
  <c r="AW155" i="21" l="1"/>
  <c r="AX155" i="21"/>
  <c r="BY155" i="21"/>
  <c r="BU156" i="21" s="1"/>
  <c r="BX156" i="21" s="1"/>
  <c r="M150" i="21"/>
  <c r="K150" i="21"/>
  <c r="BD154" i="21"/>
  <c r="BE154" i="21" s="1"/>
  <c r="AM159" i="21"/>
  <c r="AN159" i="21" s="1"/>
  <c r="BM155" i="21"/>
  <c r="Z163" i="21"/>
  <c r="AA163" i="21" s="1"/>
  <c r="W164" i="21" s="1"/>
  <c r="K179" i="19"/>
  <c r="L179" i="19" s="1"/>
  <c r="M179" i="19" s="1"/>
  <c r="V179" i="19"/>
  <c r="X179" i="19" s="1"/>
  <c r="S180" i="19" s="1"/>
  <c r="Y179" i="19"/>
  <c r="N178" i="19"/>
  <c r="BV156" i="21" l="1"/>
  <c r="BW156" i="21"/>
  <c r="BA155" i="21"/>
  <c r="AT155" i="21"/>
  <c r="AQ150" i="21"/>
  <c r="AE150" i="21" s="1"/>
  <c r="AF150" i="21" s="1"/>
  <c r="AB151" i="21" s="1"/>
  <c r="L150" i="21"/>
  <c r="BY156" i="21"/>
  <c r="BU157" i="21" s="1"/>
  <c r="N150" i="21"/>
  <c r="AR150" i="21" s="1"/>
  <c r="AJ150" i="21"/>
  <c r="AK150" i="21" s="1"/>
  <c r="AG151" i="21" s="1"/>
  <c r="X164" i="21"/>
  <c r="Y164" i="21" s="1"/>
  <c r="W179" i="19"/>
  <c r="T180" i="19"/>
  <c r="Y180" i="19" s="1"/>
  <c r="U180" i="19"/>
  <c r="V180" i="19" s="1"/>
  <c r="O179" i="19"/>
  <c r="J180" i="19" s="1"/>
  <c r="N179" i="19"/>
  <c r="P179" i="19"/>
  <c r="U150" i="21" l="1"/>
  <c r="V150" i="21" s="1"/>
  <c r="R151" i="21" s="1"/>
  <c r="BN155" i="21"/>
  <c r="BO155" i="21" s="1"/>
  <c r="BK156" i="21" s="1"/>
  <c r="BI155" i="21"/>
  <c r="BJ155" i="21" s="1"/>
  <c r="BF156" i="21" s="1"/>
  <c r="O150" i="21"/>
  <c r="P150" i="21" s="1"/>
  <c r="AC151" i="21"/>
  <c r="AD151" i="21" s="1"/>
  <c r="BZ155" i="21"/>
  <c r="AY155" i="21" s="1"/>
  <c r="AZ155" i="21" s="1"/>
  <c r="AV156" i="21" s="1"/>
  <c r="AU155" i="21"/>
  <c r="AH151" i="21"/>
  <c r="AI151" i="21"/>
  <c r="BW157" i="21"/>
  <c r="BV157" i="21"/>
  <c r="BX157" i="21"/>
  <c r="BB155" i="21"/>
  <c r="CA155" i="21" s="1"/>
  <c r="BS155" i="21"/>
  <c r="BT155" i="21" s="1"/>
  <c r="BP156" i="21" s="1"/>
  <c r="BQ156" i="21" s="1"/>
  <c r="BR156" i="21" s="1"/>
  <c r="AO159" i="21"/>
  <c r="AP159" i="21" s="1"/>
  <c r="AL160" i="21" s="1"/>
  <c r="BL156" i="21"/>
  <c r="BM156" i="21" s="1"/>
  <c r="X180" i="19"/>
  <c r="S181" i="19" s="1"/>
  <c r="K180" i="19"/>
  <c r="L180" i="19" s="1"/>
  <c r="W180" i="19"/>
  <c r="S151" i="21" l="1"/>
  <c r="T151" i="21" s="1"/>
  <c r="AW156" i="21"/>
  <c r="AX156" i="21" s="1"/>
  <c r="BG156" i="21"/>
  <c r="BH156" i="21" s="1"/>
  <c r="Q150" i="21"/>
  <c r="M151" i="21" s="1"/>
  <c r="BY157" i="21"/>
  <c r="BU158" i="21" s="1"/>
  <c r="BV158" i="21" s="1"/>
  <c r="BC155" i="21"/>
  <c r="AN160" i="21"/>
  <c r="AM160" i="21"/>
  <c r="Z164" i="21"/>
  <c r="AA164" i="21" s="1"/>
  <c r="W165" i="21" s="1"/>
  <c r="M180" i="19"/>
  <c r="O180" i="19" s="1"/>
  <c r="J181" i="19" s="1"/>
  <c r="T181" i="19"/>
  <c r="U181" i="19"/>
  <c r="V181" i="19" s="1"/>
  <c r="P180" i="19"/>
  <c r="BW158" i="21" l="1"/>
  <c r="BX158" i="21"/>
  <c r="K151" i="21"/>
  <c r="L151" i="21" s="1"/>
  <c r="BY158" i="21"/>
  <c r="BU159" i="21" s="1"/>
  <c r="BV159" i="21" s="1"/>
  <c r="BD155" i="21"/>
  <c r="BE155" i="21" s="1"/>
  <c r="N151" i="21"/>
  <c r="AR151" i="21" s="1"/>
  <c r="AJ151" i="21"/>
  <c r="AK151" i="21" s="1"/>
  <c r="AG152" i="21" s="1"/>
  <c r="AE151" i="21"/>
  <c r="AF151" i="21" s="1"/>
  <c r="AB152" i="21" s="1"/>
  <c r="X165" i="21"/>
  <c r="Y165" i="21" s="1"/>
  <c r="N180" i="19"/>
  <c r="K181" i="19"/>
  <c r="L181" i="19"/>
  <c r="X181" i="19"/>
  <c r="S182" i="19" s="1"/>
  <c r="P181" i="19"/>
  <c r="W181" i="19"/>
  <c r="Y181" i="19"/>
  <c r="BX159" i="21" l="1"/>
  <c r="BW159" i="21"/>
  <c r="AQ151" i="21"/>
  <c r="U151" i="21" s="1"/>
  <c r="V151" i="21" s="1"/>
  <c r="R152" i="21" s="1"/>
  <c r="O151" i="21"/>
  <c r="BA156" i="21"/>
  <c r="AT156" i="21"/>
  <c r="AC152" i="21"/>
  <c r="AD152" i="21" s="1"/>
  <c r="AH152" i="21"/>
  <c r="AI152" i="21" s="1"/>
  <c r="AO160" i="21"/>
  <c r="AP160" i="21" s="1"/>
  <c r="AL161" i="21" s="1"/>
  <c r="T182" i="19"/>
  <c r="U182" i="19"/>
  <c r="V182" i="19" s="1"/>
  <c r="M181" i="19"/>
  <c r="O181" i="19" s="1"/>
  <c r="J182" i="19" s="1"/>
  <c r="Y182" i="19"/>
  <c r="S152" i="21" l="1"/>
  <c r="T152" i="21" s="1"/>
  <c r="BI156" i="21"/>
  <c r="BJ156" i="21" s="1"/>
  <c r="BF157" i="21" s="1"/>
  <c r="P151" i="21"/>
  <c r="Q151" i="21" s="1"/>
  <c r="K152" i="21" s="1"/>
  <c r="AQ152" i="21" s="1"/>
  <c r="BY159" i="21"/>
  <c r="BU160" i="21" s="1"/>
  <c r="BB156" i="21"/>
  <c r="CA156" i="21" s="1"/>
  <c r="BS156" i="21"/>
  <c r="BT156" i="21" s="1"/>
  <c r="BP157" i="21" s="1"/>
  <c r="BN156" i="21"/>
  <c r="BO156" i="21" s="1"/>
  <c r="BK157" i="21" s="1"/>
  <c r="BL157" i="21" s="1"/>
  <c r="BZ156" i="21"/>
  <c r="AY156" i="21" s="1"/>
  <c r="AZ156" i="21" s="1"/>
  <c r="AV157" i="21" s="1"/>
  <c r="AU156" i="21"/>
  <c r="AM161" i="21"/>
  <c r="AN161" i="21"/>
  <c r="Z165" i="21"/>
  <c r="AA165" i="21" s="1"/>
  <c r="W166" i="21" s="1"/>
  <c r="K182" i="19"/>
  <c r="L182" i="19" s="1"/>
  <c r="M182" i="19" s="1"/>
  <c r="X182" i="19"/>
  <c r="S183" i="19" s="1"/>
  <c r="W182" i="19"/>
  <c r="N181" i="19"/>
  <c r="AW157" i="21" l="1"/>
  <c r="AX157" i="21" s="1"/>
  <c r="BG157" i="21"/>
  <c r="BH157" i="21"/>
  <c r="BC156" i="21"/>
  <c r="BX160" i="21"/>
  <c r="BV160" i="21"/>
  <c r="BW160" i="21"/>
  <c r="BY160" i="21" s="1"/>
  <c r="BU161" i="21" s="1"/>
  <c r="BX161" i="21" s="1"/>
  <c r="L152" i="21"/>
  <c r="M152" i="21"/>
  <c r="U152" i="21" s="1"/>
  <c r="V152" i="21" s="1"/>
  <c r="R153" i="21" s="1"/>
  <c r="BD156" i="21"/>
  <c r="AE152" i="21"/>
  <c r="AF152" i="21" s="1"/>
  <c r="AB153" i="21" s="1"/>
  <c r="AJ152" i="21"/>
  <c r="AK152" i="21" s="1"/>
  <c r="AG153" i="21" s="1"/>
  <c r="AH153" i="21" s="1"/>
  <c r="AI153" i="21" s="1"/>
  <c r="BQ157" i="21"/>
  <c r="BR157" i="21" s="1"/>
  <c r="BM157" i="21"/>
  <c r="X166" i="21"/>
  <c r="Y166" i="21"/>
  <c r="T183" i="19"/>
  <c r="U183" i="19" s="1"/>
  <c r="O182" i="19"/>
  <c r="J183" i="19" s="1"/>
  <c r="N182" i="19"/>
  <c r="P182" i="19"/>
  <c r="S153" i="21" l="1"/>
  <c r="T153" i="21"/>
  <c r="BE156" i="21"/>
  <c r="BV161" i="21"/>
  <c r="BW161" i="21"/>
  <c r="BY161" i="21" s="1"/>
  <c r="BU162" i="21" s="1"/>
  <c r="BV162" i="21" s="1"/>
  <c r="N152" i="21"/>
  <c r="AR152" i="21" s="1"/>
  <c r="AC153" i="21"/>
  <c r="AD153" i="21" s="1"/>
  <c r="AO161" i="21"/>
  <c r="AP161" i="21" s="1"/>
  <c r="AL162" i="21" s="1"/>
  <c r="Z166" i="21"/>
  <c r="AA166" i="21" s="1"/>
  <c r="W167" i="21" s="1"/>
  <c r="K183" i="19"/>
  <c r="L183" i="19"/>
  <c r="M183" i="19" s="1"/>
  <c r="V183" i="19"/>
  <c r="X183" i="19" s="1"/>
  <c r="S184" i="19" s="1"/>
  <c r="Y183" i="19"/>
  <c r="AT157" i="21" l="1"/>
  <c r="BA157" i="21"/>
  <c r="O152" i="21"/>
  <c r="P152" i="21" s="1"/>
  <c r="Q152" i="21" s="1"/>
  <c r="M153" i="21" s="1"/>
  <c r="BW162" i="21"/>
  <c r="BX162" i="21"/>
  <c r="BY162" i="21" s="1"/>
  <c r="BU163" i="21" s="1"/>
  <c r="BV163" i="21" s="1"/>
  <c r="AM162" i="21"/>
  <c r="AN162" i="21" s="1"/>
  <c r="X167" i="21"/>
  <c r="Y167" i="21" s="1"/>
  <c r="T184" i="19"/>
  <c r="U184" i="19"/>
  <c r="V184" i="19" s="1"/>
  <c r="O183" i="19"/>
  <c r="J184" i="19" s="1"/>
  <c r="W183" i="19"/>
  <c r="N183" i="19"/>
  <c r="P183" i="19"/>
  <c r="Y184" i="19"/>
  <c r="BS157" i="21" l="1"/>
  <c r="BT157" i="21" s="1"/>
  <c r="BP158" i="21" s="1"/>
  <c r="BQ158" i="21" s="1"/>
  <c r="BR158" i="21" s="1"/>
  <c r="BI157" i="21"/>
  <c r="BJ157" i="21" s="1"/>
  <c r="BF158" i="21" s="1"/>
  <c r="BB157" i="21"/>
  <c r="BN157" i="21"/>
  <c r="BO157" i="21" s="1"/>
  <c r="BK158" i="21" s="1"/>
  <c r="K153" i="21"/>
  <c r="L153" i="21" s="1"/>
  <c r="BZ157" i="21"/>
  <c r="AY157" i="21" s="1"/>
  <c r="AZ157" i="21" s="1"/>
  <c r="AV158" i="21" s="1"/>
  <c r="AU157" i="21"/>
  <c r="BX163" i="21"/>
  <c r="BW163" i="21"/>
  <c r="N153" i="21"/>
  <c r="AJ153" i="21"/>
  <c r="AK153" i="21" s="1"/>
  <c r="AG154" i="21" s="1"/>
  <c r="AH154" i="21" s="1"/>
  <c r="AI154" i="21" s="1"/>
  <c r="AE153" i="21"/>
  <c r="AF153" i="21" s="1"/>
  <c r="AB154" i="21" s="1"/>
  <c r="BD157" i="21"/>
  <c r="K184" i="19"/>
  <c r="L184" i="19" s="1"/>
  <c r="M184" i="19" s="1"/>
  <c r="X184" i="19"/>
  <c r="S185" i="19" s="1"/>
  <c r="W184" i="19"/>
  <c r="AQ153" i="21" l="1"/>
  <c r="U153" i="21" s="1"/>
  <c r="V153" i="21" s="1"/>
  <c r="R154" i="21" s="1"/>
  <c r="BY163" i="21"/>
  <c r="BU164" i="21" s="1"/>
  <c r="BX164" i="21" s="1"/>
  <c r="AW158" i="21"/>
  <c r="AX158" i="21" s="1"/>
  <c r="BG158" i="21"/>
  <c r="BH158" i="21" s="1"/>
  <c r="BL158" i="21"/>
  <c r="BM158" i="21" s="1"/>
  <c r="CA157" i="21"/>
  <c r="BC157" i="21"/>
  <c r="BE157" i="21" s="1"/>
  <c r="AT158" i="21" s="1"/>
  <c r="BV164" i="21"/>
  <c r="AC154" i="21"/>
  <c r="AD154" i="21" s="1"/>
  <c r="AR153" i="21"/>
  <c r="O153" i="21"/>
  <c r="P153" i="21" s="1"/>
  <c r="Q153" i="21" s="1"/>
  <c r="M154" i="21" s="1"/>
  <c r="AO162" i="21"/>
  <c r="AP162" i="21" s="1"/>
  <c r="AL163" i="21" s="1"/>
  <c r="Z167" i="21"/>
  <c r="AA167" i="21" s="1"/>
  <c r="W168" i="21" s="1"/>
  <c r="P184" i="19"/>
  <c r="T185" i="19"/>
  <c r="U185" i="19"/>
  <c r="O184" i="19"/>
  <c r="J185" i="19" s="1"/>
  <c r="N184" i="19"/>
  <c r="S154" i="21" l="1"/>
  <c r="T154" i="21" s="1"/>
  <c r="BW164" i="21"/>
  <c r="BY164" i="21" s="1"/>
  <c r="BU165" i="21" s="1"/>
  <c r="BW165" i="21" s="1"/>
  <c r="BX165" i="21"/>
  <c r="BA158" i="21"/>
  <c r="BN158" i="21" s="1"/>
  <c r="BO158" i="21" s="1"/>
  <c r="BV165" i="21"/>
  <c r="K154" i="21"/>
  <c r="L154" i="21" s="1"/>
  <c r="BB158" i="21"/>
  <c r="CA158" i="21" s="1"/>
  <c r="N154" i="21"/>
  <c r="AR154" i="21" s="1"/>
  <c r="AJ154" i="21"/>
  <c r="AK154" i="21" s="1"/>
  <c r="AG155" i="21" s="1"/>
  <c r="BZ158" i="21"/>
  <c r="AU158" i="21"/>
  <c r="BY165" i="21"/>
  <c r="BU166" i="21" s="1"/>
  <c r="AM163" i="21"/>
  <c r="AN163" i="21"/>
  <c r="X168" i="21"/>
  <c r="Y168" i="21"/>
  <c r="K185" i="19"/>
  <c r="L185" i="19"/>
  <c r="M185" i="19" s="1"/>
  <c r="V185" i="19"/>
  <c r="X185" i="19" s="1"/>
  <c r="S186" i="19" s="1"/>
  <c r="Y185" i="19"/>
  <c r="AQ154" i="21" l="1"/>
  <c r="AE154" i="21" s="1"/>
  <c r="AF154" i="21" s="1"/>
  <c r="AB155" i="21" s="1"/>
  <c r="BS158" i="21"/>
  <c r="BT158" i="21" s="1"/>
  <c r="BP159" i="21" s="1"/>
  <c r="AY158" i="21"/>
  <c r="AZ158" i="21" s="1"/>
  <c r="AV159" i="21" s="1"/>
  <c r="BI158" i="21"/>
  <c r="BJ158" i="21" s="1"/>
  <c r="BF159" i="21" s="1"/>
  <c r="BK159" i="21"/>
  <c r="AH155" i="21"/>
  <c r="AI155" i="21" s="1"/>
  <c r="BC158" i="21"/>
  <c r="O154" i="21"/>
  <c r="BQ159" i="21"/>
  <c r="BR159" i="21" s="1"/>
  <c r="BW166" i="21"/>
  <c r="BV166" i="21"/>
  <c r="BX166" i="21"/>
  <c r="T186" i="19"/>
  <c r="U186" i="19"/>
  <c r="V186" i="19" s="1"/>
  <c r="Y186" i="19"/>
  <c r="W185" i="19"/>
  <c r="O185" i="19"/>
  <c r="J186" i="19" s="1"/>
  <c r="N185" i="19"/>
  <c r="P185" i="19"/>
  <c r="U154" i="21" l="1"/>
  <c r="V154" i="21" s="1"/>
  <c r="R155" i="21" s="1"/>
  <c r="S155" i="21" s="1"/>
  <c r="T155" i="21" s="1"/>
  <c r="BG159" i="21"/>
  <c r="BH159" i="21"/>
  <c r="AW159" i="21"/>
  <c r="AX159" i="21" s="1"/>
  <c r="P154" i="21"/>
  <c r="Q154" i="21" s="1"/>
  <c r="AC155" i="21"/>
  <c r="AD155" i="21" s="1"/>
  <c r="BD158" i="21"/>
  <c r="BE158" i="21" s="1"/>
  <c r="BL159" i="21"/>
  <c r="BM159" i="21" s="1"/>
  <c r="BY166" i="21"/>
  <c r="BU167" i="21" s="1"/>
  <c r="AO163" i="21"/>
  <c r="AP163" i="21" s="1"/>
  <c r="AL164" i="21" s="1"/>
  <c r="Z168" i="21"/>
  <c r="AA168" i="21" s="1"/>
  <c r="W169" i="21" s="1"/>
  <c r="K186" i="19"/>
  <c r="L186" i="19" s="1"/>
  <c r="M186" i="19" s="1"/>
  <c r="X186" i="19"/>
  <c r="S187" i="19" s="1"/>
  <c r="W186" i="19"/>
  <c r="BA159" i="21" l="1"/>
  <c r="AT159" i="21"/>
  <c r="M155" i="21"/>
  <c r="K155" i="21"/>
  <c r="BW167" i="21"/>
  <c r="BX167" i="21"/>
  <c r="BV167" i="21"/>
  <c r="AM164" i="21"/>
  <c r="AN164" i="21" s="1"/>
  <c r="X169" i="21"/>
  <c r="Y169" i="21"/>
  <c r="P186" i="19"/>
  <c r="T187" i="19"/>
  <c r="U187" i="19"/>
  <c r="O186" i="19"/>
  <c r="J187" i="19" s="1"/>
  <c r="N186" i="19"/>
  <c r="BI159" i="21" l="1"/>
  <c r="BJ159" i="21" s="1"/>
  <c r="BF160" i="21" s="1"/>
  <c r="BY167" i="21"/>
  <c r="BU168" i="21" s="1"/>
  <c r="BX168" i="21" s="1"/>
  <c r="L155" i="21"/>
  <c r="AQ155" i="21"/>
  <c r="U155" i="21" s="1"/>
  <c r="V155" i="21" s="1"/>
  <c r="R156" i="21" s="1"/>
  <c r="BZ159" i="21"/>
  <c r="AY159" i="21" s="1"/>
  <c r="AZ159" i="21" s="1"/>
  <c r="AV160" i="21" s="1"/>
  <c r="AU159" i="21"/>
  <c r="N155" i="21"/>
  <c r="AR155" i="21" s="1"/>
  <c r="AJ155" i="21"/>
  <c r="AK155" i="21" s="1"/>
  <c r="AG156" i="21" s="1"/>
  <c r="AE155" i="21"/>
  <c r="AF155" i="21" s="1"/>
  <c r="AB156" i="21" s="1"/>
  <c r="BB159" i="21"/>
  <c r="CA159" i="21" s="1"/>
  <c r="BN159" i="21"/>
  <c r="BO159" i="21" s="1"/>
  <c r="BK160" i="21" s="1"/>
  <c r="BL160" i="21" s="1"/>
  <c r="BS159" i="21"/>
  <c r="BT159" i="21" s="1"/>
  <c r="BP160" i="21" s="1"/>
  <c r="K187" i="19"/>
  <c r="L187" i="19" s="1"/>
  <c r="V187" i="19"/>
  <c r="X187" i="19" s="1"/>
  <c r="S188" i="19" s="1"/>
  <c r="Y187" i="19"/>
  <c r="S156" i="21" l="1"/>
  <c r="T156" i="21" s="1"/>
  <c r="BV168" i="21"/>
  <c r="BW168" i="21"/>
  <c r="BY168" i="21"/>
  <c r="BU169" i="21" s="1"/>
  <c r="BW169" i="21" s="1"/>
  <c r="AW160" i="21"/>
  <c r="AX160" i="21" s="1"/>
  <c r="BG160" i="21"/>
  <c r="BH160" i="21"/>
  <c r="O155" i="21"/>
  <c r="P155" i="21" s="1"/>
  <c r="Q155" i="21" s="1"/>
  <c r="M156" i="21" s="1"/>
  <c r="BX169" i="21"/>
  <c r="BQ160" i="21"/>
  <c r="BR160" i="21" s="1"/>
  <c r="BC159" i="21"/>
  <c r="AC156" i="21"/>
  <c r="AD156" i="21" s="1"/>
  <c r="BM160" i="21"/>
  <c r="AH156" i="21"/>
  <c r="AI156" i="21" s="1"/>
  <c r="AO164" i="21"/>
  <c r="AP164" i="21" s="1"/>
  <c r="AL165" i="21" s="1"/>
  <c r="Z169" i="21"/>
  <c r="AA169" i="21" s="1"/>
  <c r="W170" i="21" s="1"/>
  <c r="W187" i="19"/>
  <c r="T188" i="19"/>
  <c r="Y188" i="19" s="1"/>
  <c r="U188" i="19"/>
  <c r="M187" i="19"/>
  <c r="O187" i="19" s="1"/>
  <c r="J188" i="19" s="1"/>
  <c r="P187" i="19"/>
  <c r="BV169" i="21" l="1"/>
  <c r="K156" i="21"/>
  <c r="AQ156" i="21" s="1"/>
  <c r="AJ156" i="21" s="1"/>
  <c r="AK156" i="21" s="1"/>
  <c r="AG157" i="21" s="1"/>
  <c r="N156" i="21"/>
  <c r="AR156" i="21" s="1"/>
  <c r="BD159" i="21"/>
  <c r="BE159" i="21" s="1"/>
  <c r="BY169" i="21"/>
  <c r="BU170" i="21" s="1"/>
  <c r="AE156" i="21"/>
  <c r="AF156" i="21" s="1"/>
  <c r="AB157" i="21" s="1"/>
  <c r="L156" i="21"/>
  <c r="AM165" i="21"/>
  <c r="AN165" i="21" s="1"/>
  <c r="Y170" i="21"/>
  <c r="X170" i="21"/>
  <c r="K188" i="19"/>
  <c r="P188" i="19" s="1"/>
  <c r="V188" i="19"/>
  <c r="W188" i="19" s="1"/>
  <c r="N187" i="19"/>
  <c r="U156" i="21" l="1"/>
  <c r="V156" i="21" s="1"/>
  <c r="R157" i="21" s="1"/>
  <c r="O156" i="21"/>
  <c r="P156" i="21" s="1"/>
  <c r="Q156" i="21" s="1"/>
  <c r="M157" i="21" s="1"/>
  <c r="BA160" i="21"/>
  <c r="AT160" i="21"/>
  <c r="AH157" i="21"/>
  <c r="AI157" i="21" s="1"/>
  <c r="BV170" i="21"/>
  <c r="BW170" i="21"/>
  <c r="BX170" i="21"/>
  <c r="AC157" i="21"/>
  <c r="AD157" i="21" s="1"/>
  <c r="L188" i="19"/>
  <c r="M188" i="19" s="1"/>
  <c r="O188" i="19" s="1"/>
  <c r="J189" i="19" s="1"/>
  <c r="X188" i="19"/>
  <c r="S189" i="19" s="1"/>
  <c r="S157" i="21" l="1"/>
  <c r="T157" i="21" s="1"/>
  <c r="U157" i="21"/>
  <c r="V157" i="21" s="1"/>
  <c r="R158" i="21" s="1"/>
  <c r="BI160" i="21"/>
  <c r="BJ160" i="21" s="1"/>
  <c r="BF161" i="21" s="1"/>
  <c r="K157" i="21"/>
  <c r="AQ157" i="21" s="1"/>
  <c r="AJ157" i="21" s="1"/>
  <c r="AK157" i="21" s="1"/>
  <c r="AG158" i="21" s="1"/>
  <c r="BY170" i="21"/>
  <c r="BU171" i="21" s="1"/>
  <c r="BV171" i="21" s="1"/>
  <c r="L157" i="21"/>
  <c r="N157" i="21"/>
  <c r="AR157" i="21" s="1"/>
  <c r="BZ160" i="21"/>
  <c r="AY160" i="21" s="1"/>
  <c r="AZ160" i="21" s="1"/>
  <c r="AV161" i="21" s="1"/>
  <c r="AU160" i="21"/>
  <c r="BB160" i="21"/>
  <c r="CA160" i="21" s="1"/>
  <c r="BS160" i="21"/>
  <c r="BT160" i="21" s="1"/>
  <c r="BP161" i="21" s="1"/>
  <c r="BN160" i="21"/>
  <c r="BO160" i="21" s="1"/>
  <c r="BK161" i="21" s="1"/>
  <c r="BL161" i="21" s="1"/>
  <c r="AO165" i="21"/>
  <c r="AP165" i="21" s="1"/>
  <c r="AL166" i="21" s="1"/>
  <c r="Z170" i="21"/>
  <c r="AA170" i="21" s="1"/>
  <c r="W171" i="21" s="1"/>
  <c r="N188" i="19"/>
  <c r="K189" i="19"/>
  <c r="L189" i="19"/>
  <c r="M189" i="19" s="1"/>
  <c r="T189" i="19"/>
  <c r="U189" i="19"/>
  <c r="V189" i="19" s="1"/>
  <c r="AE157" i="21" l="1"/>
  <c r="AF157" i="21" s="1"/>
  <c r="AB158" i="21" s="1"/>
  <c r="AC158" i="21" s="1"/>
  <c r="AD158" i="21" s="1"/>
  <c r="S158" i="21"/>
  <c r="T158" i="21" s="1"/>
  <c r="U158" i="21"/>
  <c r="V158" i="21" s="1"/>
  <c r="R159" i="21" s="1"/>
  <c r="AW161" i="21"/>
  <c r="AX161" i="21" s="1"/>
  <c r="BG161" i="21"/>
  <c r="BH161" i="21" s="1"/>
  <c r="BW171" i="21"/>
  <c r="BX171" i="21"/>
  <c r="O157" i="21"/>
  <c r="P157" i="21" s="1"/>
  <c r="Q157" i="21" s="1"/>
  <c r="BC160" i="21"/>
  <c r="AH158" i="21"/>
  <c r="AI158" i="21" s="1"/>
  <c r="BQ161" i="21"/>
  <c r="BR161" i="21" s="1"/>
  <c r="BM161" i="21"/>
  <c r="AM166" i="21"/>
  <c r="AN166" i="21"/>
  <c r="Y171" i="21"/>
  <c r="X171" i="21"/>
  <c r="X189" i="19"/>
  <c r="S190" i="19" s="1"/>
  <c r="W189" i="19"/>
  <c r="Y189" i="19"/>
  <c r="O189" i="19"/>
  <c r="J190" i="19" s="1"/>
  <c r="N189" i="19"/>
  <c r="P189" i="19"/>
  <c r="S159" i="21" l="1"/>
  <c r="T159" i="21" s="1"/>
  <c r="U159" i="21"/>
  <c r="V159" i="21" s="1"/>
  <c r="R160" i="21" s="1"/>
  <c r="BY171" i="21"/>
  <c r="BU172" i="21" s="1"/>
  <c r="BV172" i="21" s="1"/>
  <c r="BX172" i="21"/>
  <c r="BD160" i="21"/>
  <c r="BE160" i="21" s="1"/>
  <c r="M158" i="21"/>
  <c r="K158" i="21"/>
  <c r="K190" i="19"/>
  <c r="P190" i="19" s="1"/>
  <c r="L190" i="19"/>
  <c r="T190" i="19"/>
  <c r="Y190" i="19" s="1"/>
  <c r="S160" i="21" l="1"/>
  <c r="T160" i="21" s="1"/>
  <c r="U160" i="21"/>
  <c r="V160" i="21" s="1"/>
  <c r="R161" i="21" s="1"/>
  <c r="BW172" i="21"/>
  <c r="BY172" i="21"/>
  <c r="BU173" i="21" s="1"/>
  <c r="BV173" i="21" s="1"/>
  <c r="BA161" i="21"/>
  <c r="AT161" i="21"/>
  <c r="AQ158" i="21"/>
  <c r="AJ158" i="21" s="1"/>
  <c r="AK158" i="21" s="1"/>
  <c r="AG159" i="21" s="1"/>
  <c r="L158" i="21"/>
  <c r="N158" i="21"/>
  <c r="AR158" i="21" s="1"/>
  <c r="AO166" i="21"/>
  <c r="AP166" i="21" s="1"/>
  <c r="AL167" i="21" s="1"/>
  <c r="Z171" i="21"/>
  <c r="AA171" i="21" s="1"/>
  <c r="W172" i="21" s="1"/>
  <c r="M190" i="19"/>
  <c r="O190" i="19" s="1"/>
  <c r="J191" i="19" s="1"/>
  <c r="U190" i="19"/>
  <c r="AE158" i="21" l="1"/>
  <c r="AF158" i="21" s="1"/>
  <c r="AB159" i="21" s="1"/>
  <c r="S161" i="21"/>
  <c r="T161" i="21" s="1"/>
  <c r="U161" i="21"/>
  <c r="V161" i="21" s="1"/>
  <c r="R162" i="21" s="1"/>
  <c r="BW173" i="21"/>
  <c r="BX173" i="21"/>
  <c r="BI161" i="21"/>
  <c r="BJ161" i="21" s="1"/>
  <c r="BF162" i="21" s="1"/>
  <c r="O158" i="21"/>
  <c r="P158" i="21"/>
  <c r="Q158" i="21" s="1"/>
  <c r="M159" i="21" s="1"/>
  <c r="BZ161" i="21"/>
  <c r="AY161" i="21" s="1"/>
  <c r="AZ161" i="21" s="1"/>
  <c r="AV162" i="21" s="1"/>
  <c r="AU161" i="21"/>
  <c r="BB161" i="21"/>
  <c r="CA161" i="21" s="1"/>
  <c r="BS161" i="21"/>
  <c r="BT161" i="21" s="1"/>
  <c r="BP162" i="21" s="1"/>
  <c r="BQ162" i="21" s="1"/>
  <c r="BR162" i="21" s="1"/>
  <c r="BN161" i="21"/>
  <c r="BO161" i="21" s="1"/>
  <c r="BK162" i="21" s="1"/>
  <c r="BL162" i="21" s="1"/>
  <c r="AH159" i="21"/>
  <c r="AI159" i="21" s="1"/>
  <c r="AC159" i="21"/>
  <c r="AD159" i="21" s="1"/>
  <c r="BY173" i="21"/>
  <c r="BU174" i="21" s="1"/>
  <c r="AM167" i="21"/>
  <c r="AN167" i="21" s="1"/>
  <c r="Z172" i="21"/>
  <c r="X172" i="21"/>
  <c r="Y172" i="21" s="1"/>
  <c r="N190" i="19"/>
  <c r="K191" i="19"/>
  <c r="L191" i="19"/>
  <c r="V190" i="19"/>
  <c r="X190" i="19" s="1"/>
  <c r="S191" i="19" s="1"/>
  <c r="S162" i="21" l="1"/>
  <c r="T162" i="21" s="1"/>
  <c r="U162" i="21"/>
  <c r="V162" i="21" s="1"/>
  <c r="R163" i="21" s="1"/>
  <c r="AW162" i="21"/>
  <c r="AX162" i="21" s="1"/>
  <c r="BG162" i="21"/>
  <c r="BH162" i="21" s="1"/>
  <c r="K159" i="21"/>
  <c r="AQ159" i="21" s="1"/>
  <c r="AJ159" i="21" s="1"/>
  <c r="AK159" i="21" s="1"/>
  <c r="AG160" i="21" s="1"/>
  <c r="BC161" i="21"/>
  <c r="BM162" i="21"/>
  <c r="BD161" i="21"/>
  <c r="BE161" i="21" s="1"/>
  <c r="BV174" i="21"/>
  <c r="BW174" i="21"/>
  <c r="BX174" i="21"/>
  <c r="N159" i="21"/>
  <c r="AR159" i="21" s="1"/>
  <c r="AA172" i="21"/>
  <c r="W173" i="21" s="1"/>
  <c r="W190" i="19"/>
  <c r="T191" i="19"/>
  <c r="U191" i="19"/>
  <c r="M191" i="19"/>
  <c r="O191" i="19" s="1"/>
  <c r="J192" i="19" s="1"/>
  <c r="P191" i="19"/>
  <c r="AE159" i="21" l="1"/>
  <c r="AF159" i="21" s="1"/>
  <c r="AB160" i="21" s="1"/>
  <c r="AC160" i="21" s="1"/>
  <c r="AD160" i="21" s="1"/>
  <c r="S163" i="21"/>
  <c r="T163" i="21"/>
  <c r="U163" i="21"/>
  <c r="V163" i="21" s="1"/>
  <c r="R164" i="21" s="1"/>
  <c r="L159" i="21"/>
  <c r="BA162" i="21"/>
  <c r="AT162" i="21"/>
  <c r="BN162" i="21"/>
  <c r="BO162" i="21" s="1"/>
  <c r="BK163" i="21" s="1"/>
  <c r="O159" i="21"/>
  <c r="AH160" i="21"/>
  <c r="AI160" i="21" s="1"/>
  <c r="BY174" i="21"/>
  <c r="BU175" i="21" s="1"/>
  <c r="AO167" i="21"/>
  <c r="AP167" i="21" s="1"/>
  <c r="AL168" i="21" s="1"/>
  <c r="Z173" i="21"/>
  <c r="X173" i="21"/>
  <c r="Y173" i="21"/>
  <c r="N191" i="19"/>
  <c r="K192" i="19"/>
  <c r="P192" i="19" s="1"/>
  <c r="L192" i="19"/>
  <c r="M192" i="19" s="1"/>
  <c r="V191" i="19"/>
  <c r="X191" i="19" s="1"/>
  <c r="S192" i="19" s="1"/>
  <c r="Y191" i="19"/>
  <c r="S164" i="21" l="1"/>
  <c r="T164" i="21" s="1"/>
  <c r="U164" i="21"/>
  <c r="V164" i="21" s="1"/>
  <c r="R165" i="21" s="1"/>
  <c r="BI162" i="21"/>
  <c r="BJ162" i="21" s="1"/>
  <c r="BF163" i="21" s="1"/>
  <c r="BL163" i="21"/>
  <c r="P159" i="21"/>
  <c r="Q159" i="21" s="1"/>
  <c r="BZ162" i="21"/>
  <c r="AY162" i="21" s="1"/>
  <c r="AZ162" i="21" s="1"/>
  <c r="AV163" i="21" s="1"/>
  <c r="AU162" i="21"/>
  <c r="BB162" i="21"/>
  <c r="CA162" i="21" s="1"/>
  <c r="BS162" i="21"/>
  <c r="BT162" i="21" s="1"/>
  <c r="BP163" i="21" s="1"/>
  <c r="BQ163" i="21" s="1"/>
  <c r="BR163" i="21" s="1"/>
  <c r="BW175" i="21"/>
  <c r="BX175" i="21"/>
  <c r="BV175" i="21"/>
  <c r="AM168" i="21"/>
  <c r="AN168" i="21" s="1"/>
  <c r="AA173" i="21"/>
  <c r="W174" i="21" s="1"/>
  <c r="X174" i="21" s="1"/>
  <c r="T192" i="19"/>
  <c r="U192" i="19" s="1"/>
  <c r="W191" i="19"/>
  <c r="O192" i="19"/>
  <c r="J193" i="19" s="1"/>
  <c r="N192" i="19"/>
  <c r="S165" i="21" l="1"/>
  <c r="T165" i="21" s="1"/>
  <c r="U165" i="21"/>
  <c r="V165" i="21" s="1"/>
  <c r="R166" i="21" s="1"/>
  <c r="AW163" i="21"/>
  <c r="AX163" i="21"/>
  <c r="BG163" i="21"/>
  <c r="BH163" i="21" s="1"/>
  <c r="BY175" i="21"/>
  <c r="BU176" i="21" s="1"/>
  <c r="BW176" i="21" s="1"/>
  <c r="BC162" i="21"/>
  <c r="BD162" i="21" s="1"/>
  <c r="BE162" i="21" s="1"/>
  <c r="M160" i="21"/>
  <c r="K160" i="21"/>
  <c r="BM163" i="21"/>
  <c r="Y174" i="21"/>
  <c r="Y192" i="19"/>
  <c r="K193" i="19"/>
  <c r="L193" i="19" s="1"/>
  <c r="M193" i="19" s="1"/>
  <c r="V192" i="19"/>
  <c r="X192" i="19" s="1"/>
  <c r="S193" i="19" s="1"/>
  <c r="S166" i="21" l="1"/>
  <c r="T166" i="21" s="1"/>
  <c r="U166" i="21"/>
  <c r="V166" i="21" s="1"/>
  <c r="R167" i="21" s="1"/>
  <c r="BX176" i="21"/>
  <c r="BV176" i="21"/>
  <c r="BY176" i="21"/>
  <c r="BU177" i="21" s="1"/>
  <c r="BX177" i="21" s="1"/>
  <c r="BA163" i="21"/>
  <c r="AT163" i="21"/>
  <c r="L160" i="21"/>
  <c r="AQ160" i="21"/>
  <c r="N160" i="21"/>
  <c r="AR160" i="21" s="1"/>
  <c r="AJ160" i="21"/>
  <c r="AK160" i="21" s="1"/>
  <c r="AG161" i="21" s="1"/>
  <c r="AH161" i="21" s="1"/>
  <c r="AI161" i="21" s="1"/>
  <c r="AE160" i="21"/>
  <c r="AF160" i="21" s="1"/>
  <c r="AB161" i="21" s="1"/>
  <c r="AO168" i="21"/>
  <c r="AP168" i="21" s="1"/>
  <c r="AL169" i="21" s="1"/>
  <c r="W192" i="19"/>
  <c r="T193" i="19"/>
  <c r="U193" i="19" s="1"/>
  <c r="V193" i="19" s="1"/>
  <c r="O193" i="19"/>
  <c r="J194" i="19" s="1"/>
  <c r="N193" i="19"/>
  <c r="P193" i="19"/>
  <c r="S167" i="21" l="1"/>
  <c r="T167" i="21" s="1"/>
  <c r="U167" i="21"/>
  <c r="V167" i="21" s="1"/>
  <c r="R168" i="21" s="1"/>
  <c r="BV177" i="21"/>
  <c r="BW177" i="21"/>
  <c r="BI163" i="21"/>
  <c r="BJ163" i="21" s="1"/>
  <c r="BF164" i="21" s="1"/>
  <c r="BN163" i="21"/>
  <c r="BO163" i="21" s="1"/>
  <c r="BK164" i="21" s="1"/>
  <c r="BL164" i="21" s="1"/>
  <c r="BY177" i="21"/>
  <c r="BU178" i="21" s="1"/>
  <c r="BX178" i="21" s="1"/>
  <c r="BZ163" i="21"/>
  <c r="AY163" i="21" s="1"/>
  <c r="AZ163" i="21" s="1"/>
  <c r="AV164" i="21" s="1"/>
  <c r="AU163" i="21"/>
  <c r="O160" i="21"/>
  <c r="BB163" i="21"/>
  <c r="CA163" i="21" s="1"/>
  <c r="BS163" i="21"/>
  <c r="BT163" i="21" s="1"/>
  <c r="BP164" i="21" s="1"/>
  <c r="BQ164" i="21" s="1"/>
  <c r="BR164" i="21" s="1"/>
  <c r="AC161" i="21"/>
  <c r="AD161" i="21" s="1"/>
  <c r="AM169" i="21"/>
  <c r="AN169" i="21" s="1"/>
  <c r="Z174" i="21"/>
  <c r="AA174" i="21" s="1"/>
  <c r="W175" i="21" s="1"/>
  <c r="K194" i="19"/>
  <c r="L194" i="19"/>
  <c r="M194" i="19" s="1"/>
  <c r="X193" i="19"/>
  <c r="S194" i="19" s="1"/>
  <c r="W193" i="19"/>
  <c r="Y193" i="19"/>
  <c r="S168" i="21" l="1"/>
  <c r="T168" i="21" s="1"/>
  <c r="U168" i="21"/>
  <c r="V168" i="21" s="1"/>
  <c r="R169" i="21" s="1"/>
  <c r="BW178" i="21"/>
  <c r="BY178" i="21" s="1"/>
  <c r="BU179" i="21" s="1"/>
  <c r="BV178" i="21"/>
  <c r="AW164" i="21"/>
  <c r="AX164" i="21" s="1"/>
  <c r="BG164" i="21"/>
  <c r="BH164" i="21" s="1"/>
  <c r="P160" i="21"/>
  <c r="Q160" i="21" s="1"/>
  <c r="BM164" i="21"/>
  <c r="BC163" i="21"/>
  <c r="X175" i="21"/>
  <c r="Y175" i="21"/>
  <c r="T194" i="19"/>
  <c r="U194" i="19"/>
  <c r="V194" i="19" s="1"/>
  <c r="O194" i="19"/>
  <c r="J195" i="19" s="1"/>
  <c r="N194" i="19"/>
  <c r="P194" i="19"/>
  <c r="S169" i="21" l="1"/>
  <c r="T169" i="21"/>
  <c r="U169" i="21"/>
  <c r="V169" i="21" s="1"/>
  <c r="R170" i="21" s="1"/>
  <c r="BV179" i="21"/>
  <c r="BW179" i="21"/>
  <c r="BX179" i="21"/>
  <c r="BY179" i="21"/>
  <c r="BU180" i="21" s="1"/>
  <c r="BW180" i="21" s="1"/>
  <c r="BY180" i="21" s="1"/>
  <c r="BU181" i="21" s="1"/>
  <c r="M161" i="21"/>
  <c r="K161" i="21"/>
  <c r="BD163" i="21"/>
  <c r="BE163" i="21" s="1"/>
  <c r="BX180" i="21"/>
  <c r="AO169" i="21"/>
  <c r="AP169" i="21" s="1"/>
  <c r="AL170" i="21" s="1"/>
  <c r="K195" i="19"/>
  <c r="L195" i="19" s="1"/>
  <c r="M195" i="19" s="1"/>
  <c r="X194" i="19"/>
  <c r="S195" i="19" s="1"/>
  <c r="W194" i="19"/>
  <c r="Y194" i="19"/>
  <c r="S170" i="21" l="1"/>
  <c r="T170" i="21" s="1"/>
  <c r="U170" i="21"/>
  <c r="BV180" i="21"/>
  <c r="BA164" i="21"/>
  <c r="AT164" i="21"/>
  <c r="L161" i="21"/>
  <c r="AQ161" i="21"/>
  <c r="AJ161" i="21" s="1"/>
  <c r="AK161" i="21" s="1"/>
  <c r="AG162" i="21" s="1"/>
  <c r="N161" i="21"/>
  <c r="AR161" i="21" s="1"/>
  <c r="BW181" i="21"/>
  <c r="BV181" i="21"/>
  <c r="BX181" i="21"/>
  <c r="AM170" i="21"/>
  <c r="AN170" i="21" s="1"/>
  <c r="Z175" i="21"/>
  <c r="AA175" i="21" s="1"/>
  <c r="W176" i="21" s="1"/>
  <c r="O195" i="19"/>
  <c r="J196" i="19" s="1"/>
  <c r="T195" i="19"/>
  <c r="U195" i="19"/>
  <c r="N195" i="19"/>
  <c r="P195" i="19"/>
  <c r="AE161" i="21" l="1"/>
  <c r="AF161" i="21" s="1"/>
  <c r="AB162" i="21" s="1"/>
  <c r="AC162" i="21" s="1"/>
  <c r="AD162" i="21" s="1"/>
  <c r="V170" i="21"/>
  <c r="R171" i="21" s="1"/>
  <c r="BY181" i="21"/>
  <c r="BU182" i="21" s="1"/>
  <c r="BI164" i="21"/>
  <c r="BJ164" i="21" s="1"/>
  <c r="BF165" i="21" s="1"/>
  <c r="O161" i="21"/>
  <c r="P161" i="21" s="1"/>
  <c r="Q161" i="21" s="1"/>
  <c r="AH162" i="21"/>
  <c r="AI162" i="21" s="1"/>
  <c r="BZ164" i="21"/>
  <c r="BN164" i="21" s="1"/>
  <c r="BO164" i="21" s="1"/>
  <c r="BK165" i="21" s="1"/>
  <c r="AU164" i="21"/>
  <c r="BB164" i="21"/>
  <c r="CA164" i="21" s="1"/>
  <c r="BS164" i="21"/>
  <c r="BT164" i="21" s="1"/>
  <c r="BP165" i="21" s="1"/>
  <c r="BW182" i="21"/>
  <c r="BX182" i="21"/>
  <c r="BV182" i="21"/>
  <c r="X176" i="21"/>
  <c r="Y176" i="21" s="1"/>
  <c r="V195" i="19"/>
  <c r="X195" i="19" s="1"/>
  <c r="S196" i="19" s="1"/>
  <c r="K196" i="19"/>
  <c r="L196" i="19" s="1"/>
  <c r="M196" i="19" s="1"/>
  <c r="Y195" i="19"/>
  <c r="S171" i="21" l="1"/>
  <c r="T171" i="21" s="1"/>
  <c r="U171" i="21"/>
  <c r="V171" i="21" s="1"/>
  <c r="R172" i="21" s="1"/>
  <c r="BG165" i="21"/>
  <c r="BH165" i="21"/>
  <c r="AY164" i="21"/>
  <c r="AZ164" i="21" s="1"/>
  <c r="AV165" i="21" s="1"/>
  <c r="BL165" i="21"/>
  <c r="BM165" i="21" s="1"/>
  <c r="K162" i="21"/>
  <c r="M162" i="21"/>
  <c r="BY182" i="21"/>
  <c r="BU183" i="21" s="1"/>
  <c r="BV183" i="21" s="1"/>
  <c r="BQ165" i="21"/>
  <c r="BR165" i="21" s="1"/>
  <c r="BC164" i="21"/>
  <c r="BD164" i="21" s="1"/>
  <c r="BE164" i="21" s="1"/>
  <c r="AO170" i="21"/>
  <c r="AP170" i="21" s="1"/>
  <c r="AL171" i="21" s="1"/>
  <c r="W195" i="19"/>
  <c r="T196" i="19"/>
  <c r="U196" i="19"/>
  <c r="O196" i="19"/>
  <c r="J197" i="19" s="1"/>
  <c r="N196" i="19"/>
  <c r="P196" i="19"/>
  <c r="Y196" i="19"/>
  <c r="U172" i="21" l="1"/>
  <c r="S172" i="21"/>
  <c r="T172" i="21" s="1"/>
  <c r="V172" i="21"/>
  <c r="R173" i="21" s="1"/>
  <c r="AW165" i="21"/>
  <c r="AX165" i="21"/>
  <c r="N162" i="21"/>
  <c r="AR162" i="21" s="1"/>
  <c r="AE162" i="21"/>
  <c r="AF162" i="21" s="1"/>
  <c r="AB163" i="21" s="1"/>
  <c r="BX183" i="21"/>
  <c r="AQ162" i="21"/>
  <c r="AJ162" i="21" s="1"/>
  <c r="AK162" i="21" s="1"/>
  <c r="AG163" i="21" s="1"/>
  <c r="L162" i="21"/>
  <c r="BA165" i="21"/>
  <c r="AT165" i="21"/>
  <c r="BW183" i="21"/>
  <c r="AM171" i="21"/>
  <c r="AN171" i="21" s="1"/>
  <c r="Z176" i="21"/>
  <c r="AA176" i="21" s="1"/>
  <c r="W177" i="21" s="1"/>
  <c r="K197" i="19"/>
  <c r="L197" i="19" s="1"/>
  <c r="M197" i="19" s="1"/>
  <c r="V196" i="19"/>
  <c r="X196" i="19" s="1"/>
  <c r="S197" i="19" s="1"/>
  <c r="S173" i="21" l="1"/>
  <c r="T173" i="21" s="1"/>
  <c r="U173" i="21"/>
  <c r="V173" i="21" s="1"/>
  <c r="R174" i="21" s="1"/>
  <c r="O162" i="21"/>
  <c r="P162" i="21" s="1"/>
  <c r="Q162" i="21" s="1"/>
  <c r="BI165" i="21"/>
  <c r="BJ165" i="21" s="1"/>
  <c r="BF166" i="21" s="1"/>
  <c r="BY183" i="21"/>
  <c r="BU184" i="21" s="1"/>
  <c r="BW184" i="21" s="1"/>
  <c r="AH163" i="21"/>
  <c r="AI163" i="21" s="1"/>
  <c r="AC163" i="21"/>
  <c r="AD163" i="21" s="1"/>
  <c r="BB165" i="21"/>
  <c r="CA165" i="21" s="1"/>
  <c r="BS165" i="21"/>
  <c r="BT165" i="21" s="1"/>
  <c r="BP166" i="21" s="1"/>
  <c r="BZ165" i="21"/>
  <c r="BN165" i="21" s="1"/>
  <c r="BO165" i="21" s="1"/>
  <c r="BK166" i="21" s="1"/>
  <c r="AU165" i="21"/>
  <c r="X177" i="21"/>
  <c r="Y177" i="21"/>
  <c r="T197" i="19"/>
  <c r="U197" i="19" s="1"/>
  <c r="O197" i="19"/>
  <c r="J198" i="19" s="1"/>
  <c r="N197" i="19"/>
  <c r="P197" i="19"/>
  <c r="W196" i="19"/>
  <c r="S174" i="21" l="1"/>
  <c r="T174" i="21" s="1"/>
  <c r="U174" i="21"/>
  <c r="V174" i="21" s="1"/>
  <c r="R175" i="21" s="1"/>
  <c r="BC165" i="21"/>
  <c r="BG166" i="21"/>
  <c r="BH166" i="21" s="1"/>
  <c r="BV184" i="21"/>
  <c r="BX184" i="21"/>
  <c r="BY184" i="21" s="1"/>
  <c r="BU185" i="21" s="1"/>
  <c r="AY165" i="21"/>
  <c r="AZ165" i="21" s="1"/>
  <c r="AV166" i="21" s="1"/>
  <c r="M163" i="21"/>
  <c r="K163" i="21"/>
  <c r="BL166" i="21"/>
  <c r="BM166" i="21" s="1"/>
  <c r="BQ166" i="21"/>
  <c r="BR166" i="21" s="1"/>
  <c r="BD165" i="21"/>
  <c r="BE165" i="21" s="1"/>
  <c r="AO171" i="21"/>
  <c r="AP171" i="21" s="1"/>
  <c r="AL172" i="21" s="1"/>
  <c r="K198" i="19"/>
  <c r="L198" i="19" s="1"/>
  <c r="M198" i="19" s="1"/>
  <c r="V197" i="19"/>
  <c r="X197" i="19" s="1"/>
  <c r="S198" i="19" s="1"/>
  <c r="Y197" i="19"/>
  <c r="S175" i="21" l="1"/>
  <c r="T175" i="21" s="1"/>
  <c r="U175" i="21"/>
  <c r="V175" i="21" s="1"/>
  <c r="R176" i="21" s="1"/>
  <c r="AW166" i="21"/>
  <c r="AX166" i="21" s="1"/>
  <c r="BA166" i="21"/>
  <c r="BI166" i="21" s="1"/>
  <c r="BJ166" i="21" s="1"/>
  <c r="BF167" i="21" s="1"/>
  <c r="AT166" i="21"/>
  <c r="AQ163" i="21"/>
  <c r="AE163" i="21" s="1"/>
  <c r="AF163" i="21" s="1"/>
  <c r="AB164" i="21" s="1"/>
  <c r="L163" i="21"/>
  <c r="BX185" i="21"/>
  <c r="BV185" i="21"/>
  <c r="BW185" i="21"/>
  <c r="N163" i="21"/>
  <c r="AR163" i="21" s="1"/>
  <c r="AJ163" i="21"/>
  <c r="AK163" i="21" s="1"/>
  <c r="AG164" i="21" s="1"/>
  <c r="AM172" i="21"/>
  <c r="AN172" i="21" s="1"/>
  <c r="Z177" i="21"/>
  <c r="AA177" i="21" s="1"/>
  <c r="W178" i="21" s="1"/>
  <c r="T198" i="19"/>
  <c r="U198" i="19"/>
  <c r="W197" i="19"/>
  <c r="O198" i="19"/>
  <c r="J199" i="19" s="1"/>
  <c r="N198" i="19"/>
  <c r="P198" i="19"/>
  <c r="Y198" i="19"/>
  <c r="S176" i="21" l="1"/>
  <c r="T176" i="21" s="1"/>
  <c r="U176" i="21"/>
  <c r="BG167" i="21"/>
  <c r="BH167" i="21"/>
  <c r="O163" i="21"/>
  <c r="P163" i="21"/>
  <c r="Q163" i="21" s="1"/>
  <c r="BY185" i="21"/>
  <c r="BU186" i="21" s="1"/>
  <c r="BV186" i="21" s="1"/>
  <c r="AC164" i="21"/>
  <c r="AD164" i="21" s="1"/>
  <c r="AU166" i="21"/>
  <c r="BZ166" i="21"/>
  <c r="AY166" i="21" s="1"/>
  <c r="AZ166" i="21" s="1"/>
  <c r="AV167" i="21" s="1"/>
  <c r="AH164" i="21"/>
  <c r="AI164" i="21" s="1"/>
  <c r="BB166" i="21"/>
  <c r="CA166" i="21" s="1"/>
  <c r="BN166" i="21"/>
  <c r="BO166" i="21" s="1"/>
  <c r="BK167" i="21" s="1"/>
  <c r="BS166" i="21"/>
  <c r="BT166" i="21" s="1"/>
  <c r="BP167" i="21" s="1"/>
  <c r="Y178" i="21"/>
  <c r="X178" i="21"/>
  <c r="V198" i="19"/>
  <c r="X198" i="19" s="1"/>
  <c r="S199" i="19" s="1"/>
  <c r="K199" i="19"/>
  <c r="L199" i="19"/>
  <c r="M199" i="19" s="1"/>
  <c r="V176" i="21" l="1"/>
  <c r="R177" i="21" s="1"/>
  <c r="S177" i="21"/>
  <c r="T177" i="21" s="1"/>
  <c r="U177" i="21"/>
  <c r="V177" i="21" s="1"/>
  <c r="R178" i="21" s="1"/>
  <c r="S178" i="21" s="1"/>
  <c r="T178" i="21" s="1"/>
  <c r="AW167" i="21"/>
  <c r="AX167" i="21"/>
  <c r="BW186" i="21"/>
  <c r="BX186" i="21"/>
  <c r="BY186" i="21"/>
  <c r="BU187" i="21" s="1"/>
  <c r="BX187" i="21" s="1"/>
  <c r="BC166" i="21"/>
  <c r="BD166" i="21" s="1"/>
  <c r="BE166" i="21" s="1"/>
  <c r="M164" i="21"/>
  <c r="K164" i="21"/>
  <c r="BQ167" i="21"/>
  <c r="BR167" i="21" s="1"/>
  <c r="BL167" i="21"/>
  <c r="BM167" i="21" s="1"/>
  <c r="AO172" i="21"/>
  <c r="AP172" i="21" s="1"/>
  <c r="AL173" i="21" s="1"/>
  <c r="U178" i="21"/>
  <c r="Z178" i="21"/>
  <c r="AA178" i="21" s="1"/>
  <c r="W179" i="21" s="1"/>
  <c r="T199" i="19"/>
  <c r="U199" i="19" s="1"/>
  <c r="O199" i="19"/>
  <c r="J200" i="19" s="1"/>
  <c r="N199" i="19"/>
  <c r="P199" i="19"/>
  <c r="W198" i="19"/>
  <c r="V178" i="21" l="1"/>
  <c r="R179" i="21" s="1"/>
  <c r="BV187" i="21"/>
  <c r="BW187" i="21"/>
  <c r="BY187" i="21" s="1"/>
  <c r="BU188" i="21" s="1"/>
  <c r="BW188" i="21" s="1"/>
  <c r="BA167" i="21"/>
  <c r="AT167" i="21"/>
  <c r="L164" i="21"/>
  <c r="AQ164" i="21"/>
  <c r="N164" i="21"/>
  <c r="AR164" i="21" s="1"/>
  <c r="AE164" i="21"/>
  <c r="AF164" i="21" s="1"/>
  <c r="AB165" i="21" s="1"/>
  <c r="AJ164" i="21"/>
  <c r="AK164" i="21" s="1"/>
  <c r="AG165" i="21" s="1"/>
  <c r="AM173" i="21"/>
  <c r="AN173" i="21"/>
  <c r="S179" i="21"/>
  <c r="T179" i="21"/>
  <c r="X179" i="21"/>
  <c r="Y179" i="21" s="1"/>
  <c r="K200" i="19"/>
  <c r="L200" i="19" s="1"/>
  <c r="M200" i="19" s="1"/>
  <c r="V199" i="19"/>
  <c r="X199" i="19" s="1"/>
  <c r="S200" i="19" s="1"/>
  <c r="Y199" i="19"/>
  <c r="BI167" i="21" l="1"/>
  <c r="BJ167" i="21" s="1"/>
  <c r="BF168" i="21" s="1"/>
  <c r="BV188" i="21"/>
  <c r="BX188" i="21"/>
  <c r="BY188" i="21" s="1"/>
  <c r="BU189" i="21" s="1"/>
  <c r="O164" i="21"/>
  <c r="P164" i="21" s="1"/>
  <c r="Q164" i="21" s="1"/>
  <c r="AH165" i="21"/>
  <c r="AI165" i="21" s="1"/>
  <c r="AC165" i="21"/>
  <c r="AD165" i="21" s="1"/>
  <c r="BZ167" i="21"/>
  <c r="BN167" i="21" s="1"/>
  <c r="BO167" i="21" s="1"/>
  <c r="BK168" i="21" s="1"/>
  <c r="AU167" i="21"/>
  <c r="BB167" i="21"/>
  <c r="CA167" i="21" s="1"/>
  <c r="BS167" i="21"/>
  <c r="BT167" i="21" s="1"/>
  <c r="BP168" i="21" s="1"/>
  <c r="T200" i="19"/>
  <c r="U200" i="19" s="1"/>
  <c r="V200" i="19" s="1"/>
  <c r="O200" i="19"/>
  <c r="J201" i="19" s="1"/>
  <c r="W199" i="19"/>
  <c r="N200" i="19"/>
  <c r="P200" i="19"/>
  <c r="BG168" i="21" l="1"/>
  <c r="BH168" i="21" s="1"/>
  <c r="AY167" i="21"/>
  <c r="AZ167" i="21" s="1"/>
  <c r="AV168" i="21" s="1"/>
  <c r="BW189" i="21"/>
  <c r="BX189" i="21"/>
  <c r="BV189" i="21"/>
  <c r="BC167" i="21"/>
  <c r="K165" i="21"/>
  <c r="M165" i="21"/>
  <c r="BQ168" i="21"/>
  <c r="BR168" i="21" s="1"/>
  <c r="BL168" i="21"/>
  <c r="AO173" i="21"/>
  <c r="AP173" i="21" s="1"/>
  <c r="AL174" i="21" s="1"/>
  <c r="Z179" i="21"/>
  <c r="AA179" i="21" s="1"/>
  <c r="W180" i="21" s="1"/>
  <c r="U179" i="21"/>
  <c r="V179" i="21" s="1"/>
  <c r="R180" i="21" s="1"/>
  <c r="Y200" i="19"/>
  <c r="K201" i="19"/>
  <c r="L201" i="19" s="1"/>
  <c r="X200" i="19"/>
  <c r="S201" i="19" s="1"/>
  <c r="W200" i="19"/>
  <c r="AW168" i="21" l="1"/>
  <c r="AX168" i="21" s="1"/>
  <c r="BY189" i="21"/>
  <c r="BU190" i="21" s="1"/>
  <c r="BW190" i="21" s="1"/>
  <c r="BD167" i="21"/>
  <c r="BE167" i="21" s="1"/>
  <c r="N165" i="21"/>
  <c r="AR165" i="21" s="1"/>
  <c r="AJ165" i="21"/>
  <c r="AK165" i="21" s="1"/>
  <c r="AG166" i="21" s="1"/>
  <c r="L165" i="21"/>
  <c r="AQ165" i="21"/>
  <c r="AE165" i="21" s="1"/>
  <c r="AF165" i="21" s="1"/>
  <c r="AB166" i="21" s="1"/>
  <c r="BM168" i="21"/>
  <c r="AM174" i="21"/>
  <c r="AN174" i="21"/>
  <c r="S180" i="21"/>
  <c r="T180" i="21" s="1"/>
  <c r="X180" i="21"/>
  <c r="Y180" i="21"/>
  <c r="T201" i="19"/>
  <c r="U201" i="19" s="1"/>
  <c r="V201" i="19" s="1"/>
  <c r="M201" i="19"/>
  <c r="O201" i="19" s="1"/>
  <c r="J202" i="19" s="1"/>
  <c r="P201" i="19"/>
  <c r="BX190" i="21" l="1"/>
  <c r="BY190" i="21" s="1"/>
  <c r="BU191" i="21" s="1"/>
  <c r="BV190" i="21"/>
  <c r="AT168" i="21"/>
  <c r="BA168" i="21"/>
  <c r="O165" i="21"/>
  <c r="AC166" i="21"/>
  <c r="AD166" i="21" s="1"/>
  <c r="AH166" i="21"/>
  <c r="AI166" i="21" s="1"/>
  <c r="N201" i="19"/>
  <c r="K202" i="19"/>
  <c r="P202" i="19" s="1"/>
  <c r="L202" i="19"/>
  <c r="M202" i="19" s="1"/>
  <c r="X201" i="19"/>
  <c r="S202" i="19" s="1"/>
  <c r="W201" i="19"/>
  <c r="Y201" i="19"/>
  <c r="BV191" i="21" l="1"/>
  <c r="BX191" i="21"/>
  <c r="BW191" i="21"/>
  <c r="BN168" i="21"/>
  <c r="BO168" i="21" s="1"/>
  <c r="BK169" i="21" s="1"/>
  <c r="BL169" i="21" s="1"/>
  <c r="BI168" i="21"/>
  <c r="BJ168" i="21" s="1"/>
  <c r="BF169" i="21" s="1"/>
  <c r="BS168" i="21"/>
  <c r="BT168" i="21" s="1"/>
  <c r="BP169" i="21" s="1"/>
  <c r="BQ169" i="21" s="1"/>
  <c r="BR169" i="21" s="1"/>
  <c r="BB168" i="21"/>
  <c r="CA168" i="21" s="1"/>
  <c r="AU168" i="21"/>
  <c r="BZ168" i="21"/>
  <c r="AY168" i="21" s="1"/>
  <c r="AZ168" i="21" s="1"/>
  <c r="AV169" i="21" s="1"/>
  <c r="P165" i="21"/>
  <c r="Q165" i="21" s="1"/>
  <c r="AO174" i="21"/>
  <c r="AP174" i="21" s="1"/>
  <c r="AL175" i="21" s="1"/>
  <c r="Z180" i="21"/>
  <c r="AA180" i="21" s="1"/>
  <c r="W181" i="21" s="1"/>
  <c r="U180" i="21"/>
  <c r="V180" i="21" s="1"/>
  <c r="R181" i="21" s="1"/>
  <c r="T202" i="19"/>
  <c r="U202" i="19"/>
  <c r="V202" i="19" s="1"/>
  <c r="Y202" i="19"/>
  <c r="O202" i="19"/>
  <c r="J203" i="19" s="1"/>
  <c r="N202" i="19"/>
  <c r="AW169" i="21" l="1"/>
  <c r="AX169" i="21" s="1"/>
  <c r="BG169" i="21"/>
  <c r="BH169" i="21" s="1"/>
  <c r="BM169" i="21"/>
  <c r="BY191" i="21"/>
  <c r="BU192" i="21" s="1"/>
  <c r="BC168" i="21"/>
  <c r="M166" i="21"/>
  <c r="K166" i="21"/>
  <c r="AM175" i="21"/>
  <c r="AN175" i="21" s="1"/>
  <c r="S181" i="21"/>
  <c r="T181" i="21" s="1"/>
  <c r="Z181" i="21"/>
  <c r="X181" i="21"/>
  <c r="Y181" i="21" s="1"/>
  <c r="K203" i="19"/>
  <c r="X202" i="19"/>
  <c r="S203" i="19" s="1"/>
  <c r="W202" i="19"/>
  <c r="BV192" i="21" l="1"/>
  <c r="BX192" i="21"/>
  <c r="BW192" i="21"/>
  <c r="BY192" i="21" s="1"/>
  <c r="BU193" i="21" s="1"/>
  <c r="BD168" i="21"/>
  <c r="BE168" i="21" s="1"/>
  <c r="AQ166" i="21"/>
  <c r="AE166" i="21" s="1"/>
  <c r="AF166" i="21" s="1"/>
  <c r="AB167" i="21" s="1"/>
  <c r="L166" i="21"/>
  <c r="N166" i="21"/>
  <c r="AR166" i="21" s="1"/>
  <c r="AJ166" i="21"/>
  <c r="AK166" i="21" s="1"/>
  <c r="AG167" i="21" s="1"/>
  <c r="AA181" i="21"/>
  <c r="W182" i="21" s="1"/>
  <c r="X182" i="21" s="1"/>
  <c r="Y182" i="21" s="1"/>
  <c r="T203" i="19"/>
  <c r="P203" i="19"/>
  <c r="L203" i="19"/>
  <c r="O166" i="21" l="1"/>
  <c r="BV193" i="21"/>
  <c r="BW193" i="21"/>
  <c r="BX193" i="21"/>
  <c r="AT169" i="21"/>
  <c r="BA169" i="21"/>
  <c r="AH167" i="21"/>
  <c r="AI167" i="21" s="1"/>
  <c r="P166" i="21"/>
  <c r="Q166" i="21" s="1"/>
  <c r="AC167" i="21"/>
  <c r="AD167" i="21" s="1"/>
  <c r="AO175" i="21"/>
  <c r="AP175" i="21" s="1"/>
  <c r="AL176" i="21" s="1"/>
  <c r="U181" i="21"/>
  <c r="V181" i="21" s="1"/>
  <c r="R182" i="21" s="1"/>
  <c r="S182" i="21" s="1"/>
  <c r="T182" i="21" s="1"/>
  <c r="M203" i="19"/>
  <c r="O203" i="19" s="1"/>
  <c r="J204" i="19" s="1"/>
  <c r="Y203" i="19"/>
  <c r="U203" i="19"/>
  <c r="BY193" i="21" l="1"/>
  <c r="BU194" i="21" s="1"/>
  <c r="BX194" i="21" s="1"/>
  <c r="BV194" i="21"/>
  <c r="BI169" i="21"/>
  <c r="BJ169" i="21" s="1"/>
  <c r="BF170" i="21" s="1"/>
  <c r="BB169" i="21"/>
  <c r="CA169" i="21" s="1"/>
  <c r="BS169" i="21"/>
  <c r="BT169" i="21" s="1"/>
  <c r="BP170" i="21" s="1"/>
  <c r="BZ169" i="21"/>
  <c r="BN169" i="21" s="1"/>
  <c r="BO169" i="21" s="1"/>
  <c r="BK170" i="21" s="1"/>
  <c r="AU169" i="21"/>
  <c r="K167" i="21"/>
  <c r="M167" i="21"/>
  <c r="AM176" i="21"/>
  <c r="AN176" i="21" s="1"/>
  <c r="N203" i="19"/>
  <c r="V203" i="19"/>
  <c r="W203" i="19" s="1"/>
  <c r="X203" i="19"/>
  <c r="S204" i="19" s="1"/>
  <c r="K204" i="19"/>
  <c r="L204" i="19" s="1"/>
  <c r="BW194" i="21" l="1"/>
  <c r="BY194" i="21"/>
  <c r="BU195" i="21" s="1"/>
  <c r="AY169" i="21"/>
  <c r="AZ169" i="21" s="1"/>
  <c r="AV170" i="21" s="1"/>
  <c r="AW170" i="21" s="1"/>
  <c r="AX170" i="21" s="1"/>
  <c r="BV195" i="21"/>
  <c r="BW195" i="21"/>
  <c r="BX195" i="21"/>
  <c r="BG170" i="21"/>
  <c r="BH170" i="21"/>
  <c r="BC169" i="21"/>
  <c r="BQ170" i="21"/>
  <c r="BR170" i="21" s="1"/>
  <c r="BL170" i="21"/>
  <c r="BM170" i="21" s="1"/>
  <c r="AQ167" i="21"/>
  <c r="AE167" i="21" s="1"/>
  <c r="AF167" i="21" s="1"/>
  <c r="AB168" i="21" s="1"/>
  <c r="L167" i="21"/>
  <c r="N167" i="21"/>
  <c r="AR167" i="21" s="1"/>
  <c r="Z182" i="21"/>
  <c r="AA182" i="21" s="1"/>
  <c r="W183" i="21" s="1"/>
  <c r="U182" i="21"/>
  <c r="V182" i="21" s="1"/>
  <c r="R183" i="21" s="1"/>
  <c r="M204" i="19"/>
  <c r="O204" i="19" s="1"/>
  <c r="J205" i="19" s="1"/>
  <c r="P204" i="19"/>
  <c r="T204" i="19"/>
  <c r="O167" i="21" l="1"/>
  <c r="BY195" i="21"/>
  <c r="BU196" i="21" s="1"/>
  <c r="P167" i="21"/>
  <c r="Q167" i="21" s="1"/>
  <c r="M168" i="21" s="1"/>
  <c r="BD169" i="21"/>
  <c r="BE169" i="21" s="1"/>
  <c r="AC168" i="21"/>
  <c r="AD168" i="21" s="1"/>
  <c r="AJ167" i="21"/>
  <c r="AK167" i="21" s="1"/>
  <c r="AG168" i="21" s="1"/>
  <c r="AO176" i="21"/>
  <c r="AP176" i="21" s="1"/>
  <c r="AL177" i="21" s="1"/>
  <c r="Y183" i="21"/>
  <c r="X183" i="21"/>
  <c r="S183" i="21"/>
  <c r="T183" i="21" s="1"/>
  <c r="N204" i="19"/>
  <c r="Y204" i="19"/>
  <c r="U204" i="19"/>
  <c r="K205" i="19"/>
  <c r="L205" i="19" s="1"/>
  <c r="BW196" i="21" l="1"/>
  <c r="BV196" i="21"/>
  <c r="BX196" i="21"/>
  <c r="AT170" i="21"/>
  <c r="BA170" i="21"/>
  <c r="N168" i="21"/>
  <c r="O168" i="21" s="1"/>
  <c r="K168" i="21"/>
  <c r="AH168" i="21"/>
  <c r="AI168" i="21" s="1"/>
  <c r="AM177" i="21"/>
  <c r="AN177" i="21"/>
  <c r="M205" i="19"/>
  <c r="O205" i="19" s="1"/>
  <c r="J206" i="19" s="1"/>
  <c r="V204" i="19"/>
  <c r="X204" i="19" s="1"/>
  <c r="S205" i="19" s="1"/>
  <c r="P205" i="19"/>
  <c r="BI170" i="21" l="1"/>
  <c r="BJ170" i="21" s="1"/>
  <c r="BF171" i="21" s="1"/>
  <c r="BY196" i="21"/>
  <c r="BU197" i="21" s="1"/>
  <c r="BB170" i="21"/>
  <c r="CA170" i="21" s="1"/>
  <c r="BS170" i="21"/>
  <c r="BT170" i="21" s="1"/>
  <c r="BP171" i="21" s="1"/>
  <c r="BZ170" i="21"/>
  <c r="BN170" i="21" s="1"/>
  <c r="BO170" i="21" s="1"/>
  <c r="BK171" i="21" s="1"/>
  <c r="AU170" i="21"/>
  <c r="AR168" i="21"/>
  <c r="AQ168" i="21"/>
  <c r="L168" i="21"/>
  <c r="Z183" i="21"/>
  <c r="AA183" i="21" s="1"/>
  <c r="W184" i="21" s="1"/>
  <c r="U183" i="21"/>
  <c r="V183" i="21" s="1"/>
  <c r="R184" i="21" s="1"/>
  <c r="W204" i="19"/>
  <c r="N205" i="19"/>
  <c r="T205" i="19"/>
  <c r="K206" i="19"/>
  <c r="AJ168" i="21" l="1"/>
  <c r="AK168" i="21" s="1"/>
  <c r="AG169" i="21" s="1"/>
  <c r="AE168" i="21"/>
  <c r="AF168" i="21" s="1"/>
  <c r="AB169" i="21" s="1"/>
  <c r="AC169" i="21" s="1"/>
  <c r="AD169" i="21" s="1"/>
  <c r="BC170" i="21"/>
  <c r="BD170" i="21" s="1"/>
  <c r="BE170" i="21" s="1"/>
  <c r="BA171" i="21" s="1"/>
  <c r="BX197" i="21"/>
  <c r="BV197" i="21"/>
  <c r="BW197" i="21"/>
  <c r="BY197" i="21" s="1"/>
  <c r="BU198" i="21" s="1"/>
  <c r="AY170" i="21"/>
  <c r="AZ170" i="21" s="1"/>
  <c r="AV171" i="21" s="1"/>
  <c r="BG171" i="21"/>
  <c r="BH171" i="21"/>
  <c r="BL171" i="21"/>
  <c r="BM171" i="21" s="1"/>
  <c r="BQ171" i="21"/>
  <c r="BR171" i="21" s="1"/>
  <c r="P168" i="21"/>
  <c r="Q168" i="21" s="1"/>
  <c r="M169" i="21" s="1"/>
  <c r="AH169" i="21"/>
  <c r="AI169" i="21" s="1"/>
  <c r="AO177" i="21"/>
  <c r="AP177" i="21" s="1"/>
  <c r="AL178" i="21" s="1"/>
  <c r="T184" i="21"/>
  <c r="S184" i="21"/>
  <c r="X184" i="21"/>
  <c r="Y184" i="21"/>
  <c r="Z184" i="21"/>
  <c r="L206" i="19"/>
  <c r="Y205" i="19"/>
  <c r="P206" i="19"/>
  <c r="U205" i="19"/>
  <c r="BS171" i="21" l="1"/>
  <c r="BT171" i="21" s="1"/>
  <c r="BP172" i="21" s="1"/>
  <c r="BQ172" i="21" s="1"/>
  <c r="BR172" i="21" s="1"/>
  <c r="AW171" i="21"/>
  <c r="AX171" i="21" s="1"/>
  <c r="BW198" i="21"/>
  <c r="BX198" i="21"/>
  <c r="BY198" i="21" s="1"/>
  <c r="BU199" i="21" s="1"/>
  <c r="BV198" i="21"/>
  <c r="AT171" i="21"/>
  <c r="AU171" i="21" s="1"/>
  <c r="K169" i="21"/>
  <c r="L169" i="21" s="1"/>
  <c r="BB171" i="21"/>
  <c r="AA184" i="21"/>
  <c r="W185" i="21" s="1"/>
  <c r="X185" i="21" s="1"/>
  <c r="Y185" i="21" s="1"/>
  <c r="N169" i="21"/>
  <c r="AR169" i="21" s="1"/>
  <c r="AM178" i="21"/>
  <c r="AN178" i="21"/>
  <c r="U184" i="21"/>
  <c r="V184" i="21" s="1"/>
  <c r="R185" i="21" s="1"/>
  <c r="S185" i="21" s="1"/>
  <c r="T185" i="21" s="1"/>
  <c r="V205" i="19"/>
  <c r="W205" i="19" s="1"/>
  <c r="M206" i="19"/>
  <c r="O206" i="19" s="1"/>
  <c r="J207" i="19" s="1"/>
  <c r="CA171" i="21" l="1"/>
  <c r="BZ171" i="21"/>
  <c r="AY171" i="21" s="1"/>
  <c r="AZ171" i="21" s="1"/>
  <c r="AV172" i="21" s="1"/>
  <c r="BW199" i="21"/>
  <c r="BX199" i="21"/>
  <c r="BV199" i="21"/>
  <c r="BN171" i="21"/>
  <c r="BO171" i="21" s="1"/>
  <c r="BK172" i="21" s="1"/>
  <c r="BL172" i="21" s="1"/>
  <c r="BM172" i="21" s="1"/>
  <c r="BI171" i="21"/>
  <c r="BJ171" i="21" s="1"/>
  <c r="BF172" i="21" s="1"/>
  <c r="BC171" i="21"/>
  <c r="AQ169" i="21"/>
  <c r="AE169" i="21" s="1"/>
  <c r="AF169" i="21" s="1"/>
  <c r="AB170" i="21" s="1"/>
  <c r="AC170" i="21" s="1"/>
  <c r="AD170" i="21" s="1"/>
  <c r="O169" i="21"/>
  <c r="AJ169" i="21"/>
  <c r="AK169" i="21" s="1"/>
  <c r="AG170" i="21" s="1"/>
  <c r="K207" i="19"/>
  <c r="N206" i="19"/>
  <c r="X205" i="19"/>
  <c r="S206" i="19" s="1"/>
  <c r="AW172" i="21" l="1"/>
  <c r="AX172" i="21" s="1"/>
  <c r="BY199" i="21"/>
  <c r="BU200" i="21" s="1"/>
  <c r="BD171" i="21"/>
  <c r="BE171" i="21" s="1"/>
  <c r="BX200" i="21"/>
  <c r="BV200" i="21"/>
  <c r="BW200" i="21"/>
  <c r="BY200" i="21" s="1"/>
  <c r="BU201" i="21" s="1"/>
  <c r="BG172" i="21"/>
  <c r="BH172" i="21" s="1"/>
  <c r="BI172" i="21" s="1"/>
  <c r="BJ172" i="21" s="1"/>
  <c r="BF173" i="21" s="1"/>
  <c r="P169" i="21"/>
  <c r="Q169" i="21" s="1"/>
  <c r="AH170" i="21"/>
  <c r="AI170" i="21" s="1"/>
  <c r="AO178" i="21"/>
  <c r="AP178" i="21" s="1"/>
  <c r="AL179" i="21" s="1"/>
  <c r="P207" i="19"/>
  <c r="T206" i="19"/>
  <c r="L207" i="19"/>
  <c r="BA172" i="21" l="1"/>
  <c r="AT172" i="21"/>
  <c r="BG173" i="21"/>
  <c r="BH173" i="21" s="1"/>
  <c r="BX201" i="21"/>
  <c r="BV201" i="21"/>
  <c r="BW201" i="21"/>
  <c r="M170" i="21"/>
  <c r="K170" i="21"/>
  <c r="L170" i="21" s="1"/>
  <c r="AM179" i="21"/>
  <c r="AN179" i="21" s="1"/>
  <c r="Z185" i="21"/>
  <c r="AA185" i="21" s="1"/>
  <c r="W186" i="21" s="1"/>
  <c r="U185" i="21"/>
  <c r="V185" i="21" s="1"/>
  <c r="R186" i="21" s="1"/>
  <c r="M207" i="19"/>
  <c r="O207" i="19" s="1"/>
  <c r="J208" i="19" s="1"/>
  <c r="Y206" i="19"/>
  <c r="U206" i="19"/>
  <c r="AU172" i="21" l="1"/>
  <c r="BZ172" i="21"/>
  <c r="BN172" i="21" s="1"/>
  <c r="BO172" i="21" s="1"/>
  <c r="BK173" i="21" s="1"/>
  <c r="BL173" i="21" s="1"/>
  <c r="BM173" i="21" s="1"/>
  <c r="BS172" i="21"/>
  <c r="BT172" i="21" s="1"/>
  <c r="BP173" i="21" s="1"/>
  <c r="BQ173" i="21" s="1"/>
  <c r="BR173" i="21" s="1"/>
  <c r="BB172" i="21"/>
  <c r="BY201" i="21"/>
  <c r="BU202" i="21" s="1"/>
  <c r="AQ170" i="21"/>
  <c r="AE170" i="21" s="1"/>
  <c r="AF170" i="21" s="1"/>
  <c r="AB171" i="21" s="1"/>
  <c r="AC171" i="21" s="1"/>
  <c r="AD171" i="21" s="1"/>
  <c r="N170" i="21"/>
  <c r="AR170" i="21" s="1"/>
  <c r="AJ170" i="21"/>
  <c r="AK170" i="21" s="1"/>
  <c r="AG171" i="21" s="1"/>
  <c r="S186" i="21"/>
  <c r="T186" i="21" s="1"/>
  <c r="X186" i="21"/>
  <c r="Y186" i="21"/>
  <c r="N207" i="19"/>
  <c r="V206" i="19"/>
  <c r="W206" i="19" s="1"/>
  <c r="K208" i="19"/>
  <c r="AY172" i="21" l="1"/>
  <c r="AZ172" i="21" s="1"/>
  <c r="AV173" i="21" s="1"/>
  <c r="BC172" i="21"/>
  <c r="CA172" i="21"/>
  <c r="BX202" i="21"/>
  <c r="BW202" i="21"/>
  <c r="BV202" i="21"/>
  <c r="O170" i="21"/>
  <c r="AH171" i="21"/>
  <c r="AI171" i="21" s="1"/>
  <c r="AO179" i="21"/>
  <c r="AP179" i="21" s="1"/>
  <c r="AL180" i="21" s="1"/>
  <c r="X206" i="19"/>
  <c r="S207" i="19" s="1"/>
  <c r="T207" i="19" s="1"/>
  <c r="P208" i="19"/>
  <c r="L208" i="19"/>
  <c r="AW173" i="21" l="1"/>
  <c r="AX173" i="21" s="1"/>
  <c r="BD172" i="21"/>
  <c r="BE172" i="21" s="1"/>
  <c r="BY202" i="21"/>
  <c r="BU203" i="21" s="1"/>
  <c r="BI173" i="21"/>
  <c r="BJ173" i="21" s="1"/>
  <c r="BF174" i="21" s="1"/>
  <c r="P170" i="21"/>
  <c r="Q170" i="21" s="1"/>
  <c r="AM180" i="21"/>
  <c r="AN180" i="21" s="1"/>
  <c r="Z186" i="21"/>
  <c r="AA186" i="21" s="1"/>
  <c r="W187" i="21" s="1"/>
  <c r="U186" i="21"/>
  <c r="V186" i="21" s="1"/>
  <c r="R187" i="21" s="1"/>
  <c r="M208" i="19"/>
  <c r="O208" i="19" s="1"/>
  <c r="J209" i="19" s="1"/>
  <c r="Y207" i="19"/>
  <c r="U207" i="19"/>
  <c r="BA173" i="21" l="1"/>
  <c r="AT173" i="21"/>
  <c r="BX203" i="21"/>
  <c r="BV203" i="21"/>
  <c r="BW203" i="21"/>
  <c r="BY203" i="21" s="1"/>
  <c r="BU204" i="21" s="1"/>
  <c r="BG174" i="21"/>
  <c r="BH174" i="21" s="1"/>
  <c r="M171" i="21"/>
  <c r="K171" i="21"/>
  <c r="N208" i="19"/>
  <c r="S187" i="21"/>
  <c r="T187" i="21" s="1"/>
  <c r="X187" i="21"/>
  <c r="Y187" i="21" s="1"/>
  <c r="K209" i="19"/>
  <c r="V207" i="19"/>
  <c r="X207" i="19" s="1"/>
  <c r="S208" i="19" s="1"/>
  <c r="BZ173" i="21" l="1"/>
  <c r="AY173" i="21" s="1"/>
  <c r="AZ173" i="21" s="1"/>
  <c r="AV174" i="21" s="1"/>
  <c r="AU173" i="21"/>
  <c r="BB173" i="21"/>
  <c r="CA173" i="21" s="1"/>
  <c r="BS173" i="21"/>
  <c r="BT173" i="21" s="1"/>
  <c r="BP174" i="21" s="1"/>
  <c r="BC173" i="21"/>
  <c r="BD173" i="21" s="1"/>
  <c r="BN173" i="21"/>
  <c r="BO173" i="21" s="1"/>
  <c r="BK174" i="21" s="1"/>
  <c r="BL174" i="21" s="1"/>
  <c r="BV204" i="21"/>
  <c r="BX204" i="21"/>
  <c r="BW204" i="21"/>
  <c r="BI174" i="21"/>
  <c r="BJ174" i="21" s="1"/>
  <c r="BF175" i="21" s="1"/>
  <c r="AQ171" i="21"/>
  <c r="L171" i="21"/>
  <c r="N171" i="21"/>
  <c r="AR171" i="21" s="1"/>
  <c r="AO180" i="21"/>
  <c r="AP180" i="21" s="1"/>
  <c r="AL181" i="21" s="1"/>
  <c r="W207" i="19"/>
  <c r="T208" i="19"/>
  <c r="P209" i="19"/>
  <c r="L209" i="19"/>
  <c r="AW174" i="21" l="1"/>
  <c r="AX174" i="21" s="1"/>
  <c r="BE173" i="21"/>
  <c r="BQ174" i="21"/>
  <c r="BR174" i="21" s="1"/>
  <c r="BM174" i="21"/>
  <c r="O171" i="21"/>
  <c r="P171" i="21" s="1"/>
  <c r="Q171" i="21" s="1"/>
  <c r="BY204" i="21"/>
  <c r="BU205" i="21" s="1"/>
  <c r="BG175" i="21"/>
  <c r="BH175" i="21" s="1"/>
  <c r="AE171" i="21"/>
  <c r="AF171" i="21" s="1"/>
  <c r="AB172" i="21" s="1"/>
  <c r="AJ171" i="21"/>
  <c r="AK171" i="21" s="1"/>
  <c r="AG172" i="21" s="1"/>
  <c r="AM181" i="21"/>
  <c r="AN181" i="21" s="1"/>
  <c r="U187" i="21"/>
  <c r="V187" i="21" s="1"/>
  <c r="R188" i="21" s="1"/>
  <c r="Z187" i="21"/>
  <c r="AA187" i="21" s="1"/>
  <c r="W188" i="21" s="1"/>
  <c r="M209" i="19"/>
  <c r="O209" i="19" s="1"/>
  <c r="J210" i="19" s="1"/>
  <c r="Y208" i="19"/>
  <c r="U208" i="19"/>
  <c r="BA174" i="21" l="1"/>
  <c r="AT174" i="21"/>
  <c r="BN174" i="21"/>
  <c r="BO174" i="21" s="1"/>
  <c r="BK175" i="21" s="1"/>
  <c r="BL175" i="21" s="1"/>
  <c r="BV205" i="21"/>
  <c r="BW205" i="21"/>
  <c r="BX205" i="21"/>
  <c r="BY205" i="21"/>
  <c r="BU206" i="21" s="1"/>
  <c r="AH172" i="21"/>
  <c r="AI172" i="21" s="1"/>
  <c r="M172" i="21"/>
  <c r="K172" i="21"/>
  <c r="AC172" i="21"/>
  <c r="AD172" i="21" s="1"/>
  <c r="X188" i="21"/>
  <c r="Y188" i="21" s="1"/>
  <c r="S188" i="21"/>
  <c r="T188" i="21" s="1"/>
  <c r="N209" i="19"/>
  <c r="K210" i="19"/>
  <c r="V208" i="19"/>
  <c r="X208" i="19" s="1"/>
  <c r="S209" i="19" s="1"/>
  <c r="BZ174" i="21" l="1"/>
  <c r="AY174" i="21" s="1"/>
  <c r="AZ174" i="21" s="1"/>
  <c r="AV175" i="21" s="1"/>
  <c r="AU174" i="21"/>
  <c r="BB174" i="21"/>
  <c r="CA174" i="21" s="1"/>
  <c r="BD174" i="21"/>
  <c r="BS174" i="21"/>
  <c r="BT174" i="21" s="1"/>
  <c r="BP175" i="21" s="1"/>
  <c r="BM175" i="21"/>
  <c r="BX206" i="21"/>
  <c r="BV206" i="21"/>
  <c r="BW206" i="21"/>
  <c r="BY206" i="21" s="1"/>
  <c r="BU207" i="21" s="1"/>
  <c r="L172" i="21"/>
  <c r="AQ172" i="21"/>
  <c r="AJ172" i="21" s="1"/>
  <c r="AK172" i="21" s="1"/>
  <c r="AG173" i="21" s="1"/>
  <c r="AH173" i="21" s="1"/>
  <c r="AI173" i="21" s="1"/>
  <c r="N172" i="21"/>
  <c r="AR172" i="21" s="1"/>
  <c r="AE172" i="21"/>
  <c r="AF172" i="21" s="1"/>
  <c r="AB173" i="21" s="1"/>
  <c r="AO181" i="21"/>
  <c r="AP181" i="21" s="1"/>
  <c r="AL182" i="21" s="1"/>
  <c r="T209" i="19"/>
  <c r="W208" i="19"/>
  <c r="P210" i="19"/>
  <c r="L210" i="19"/>
  <c r="AW175" i="21" l="1"/>
  <c r="AX175" i="21"/>
  <c r="BC174" i="21"/>
  <c r="BE174" i="21" s="1"/>
  <c r="BQ175" i="21"/>
  <c r="BR175" i="21" s="1"/>
  <c r="BW207" i="21"/>
  <c r="BX207" i="21"/>
  <c r="BV207" i="21"/>
  <c r="O172" i="21"/>
  <c r="P172" i="21" s="1"/>
  <c r="Q172" i="21" s="1"/>
  <c r="AC173" i="21"/>
  <c r="AD173" i="21" s="1"/>
  <c r="AM182" i="21"/>
  <c r="AN182" i="21" s="1"/>
  <c r="Z188" i="21"/>
  <c r="AA188" i="21" s="1"/>
  <c r="W189" i="21" s="1"/>
  <c r="U188" i="21"/>
  <c r="V188" i="21" s="1"/>
  <c r="R189" i="21" s="1"/>
  <c r="M210" i="19"/>
  <c r="O210" i="19" s="1"/>
  <c r="J211" i="19" s="1"/>
  <c r="Y209" i="19"/>
  <c r="U209" i="19"/>
  <c r="AT175" i="21" l="1"/>
  <c r="BA175" i="21"/>
  <c r="BY207" i="21"/>
  <c r="BU208" i="21" s="1"/>
  <c r="BW208" i="21" s="1"/>
  <c r="AU175" i="21"/>
  <c r="BZ175" i="21"/>
  <c r="BI175" i="21" s="1"/>
  <c r="BJ175" i="21" s="1"/>
  <c r="BF176" i="21" s="1"/>
  <c r="BB175" i="21"/>
  <c r="CA175" i="21" s="1"/>
  <c r="BD175" i="21"/>
  <c r="BS175" i="21"/>
  <c r="BT175" i="21" s="1"/>
  <c r="BP176" i="21" s="1"/>
  <c r="M173" i="21"/>
  <c r="K173" i="21"/>
  <c r="S189" i="21"/>
  <c r="T189" i="21"/>
  <c r="X189" i="21"/>
  <c r="Y189" i="21" s="1"/>
  <c r="N210" i="19"/>
  <c r="V209" i="19"/>
  <c r="X209" i="19" s="1"/>
  <c r="S210" i="19" s="1"/>
  <c r="K211" i="19"/>
  <c r="L211" i="19" s="1"/>
  <c r="BX208" i="21" l="1"/>
  <c r="BV208" i="21"/>
  <c r="AY175" i="21"/>
  <c r="AZ175" i="21" s="1"/>
  <c r="AV176" i="21" s="1"/>
  <c r="BC175" i="21"/>
  <c r="BE175" i="21" s="1"/>
  <c r="BA176" i="21" s="1"/>
  <c r="BB176" i="21" s="1"/>
  <c r="BC176" i="21" s="1"/>
  <c r="BN175" i="21"/>
  <c r="BO175" i="21" s="1"/>
  <c r="BK176" i="21" s="1"/>
  <c r="BQ176" i="21"/>
  <c r="BR176" i="21" s="1"/>
  <c r="BH176" i="21"/>
  <c r="BG176" i="21"/>
  <c r="BY208" i="21"/>
  <c r="BU209" i="21" s="1"/>
  <c r="BX209" i="21" s="1"/>
  <c r="BY209" i="21" s="1"/>
  <c r="BU210" i="21" s="1"/>
  <c r="BW209" i="21"/>
  <c r="BV209" i="21"/>
  <c r="L173" i="21"/>
  <c r="AQ173" i="21"/>
  <c r="AE173" i="21" s="1"/>
  <c r="AF173" i="21" s="1"/>
  <c r="AB174" i="21" s="1"/>
  <c r="N173" i="21"/>
  <c r="AR173" i="21" s="1"/>
  <c r="AO182" i="21"/>
  <c r="AP182" i="21" s="1"/>
  <c r="AL183" i="21" s="1"/>
  <c r="W209" i="19"/>
  <c r="M211" i="19"/>
  <c r="O211" i="19" s="1"/>
  <c r="J212" i="19" s="1"/>
  <c r="T210" i="19"/>
  <c r="U210" i="19" s="1"/>
  <c r="P211" i="19"/>
  <c r="O173" i="21" l="1"/>
  <c r="P173" i="21" s="1"/>
  <c r="AT176" i="21"/>
  <c r="AW176" i="21"/>
  <c r="AX176" i="21" s="1"/>
  <c r="BZ176" i="21"/>
  <c r="BI176" i="21" s="1"/>
  <c r="BJ176" i="21" s="1"/>
  <c r="BF177" i="21" s="1"/>
  <c r="AU176" i="21"/>
  <c r="BS176" i="21"/>
  <c r="BT176" i="21" s="1"/>
  <c r="BP177" i="21" s="1"/>
  <c r="BQ177" i="21" s="1"/>
  <c r="BR177" i="21" s="1"/>
  <c r="BL176" i="21"/>
  <c r="CA176" i="21" s="1"/>
  <c r="BN176" i="21"/>
  <c r="BW210" i="21"/>
  <c r="BX210" i="21"/>
  <c r="BY210" i="21" s="1"/>
  <c r="BU211" i="21" s="1"/>
  <c r="BV210" i="21"/>
  <c r="AC174" i="21"/>
  <c r="Q173" i="21"/>
  <c r="AJ173" i="21"/>
  <c r="AK173" i="21" s="1"/>
  <c r="AG174" i="21" s="1"/>
  <c r="AM183" i="21"/>
  <c r="AN183" i="21" s="1"/>
  <c r="N211" i="19"/>
  <c r="Z189" i="21"/>
  <c r="AA189" i="21" s="1"/>
  <c r="W190" i="21" s="1"/>
  <c r="U189" i="21"/>
  <c r="V189" i="21" s="1"/>
  <c r="R190" i="21" s="1"/>
  <c r="V210" i="19"/>
  <c r="X210" i="19" s="1"/>
  <c r="S211" i="19" s="1"/>
  <c r="Y210" i="19"/>
  <c r="K212" i="19"/>
  <c r="P212" i="19" s="1"/>
  <c r="AY176" i="21" l="1"/>
  <c r="AZ176" i="21" s="1"/>
  <c r="AV177" i="21" s="1"/>
  <c r="BG177" i="21"/>
  <c r="BH177" i="21"/>
  <c r="BI177" i="21"/>
  <c r="BM176" i="21"/>
  <c r="BO176" i="21" s="1"/>
  <c r="BD176" i="21"/>
  <c r="BE176" i="21" s="1"/>
  <c r="BA177" i="21" s="1"/>
  <c r="BW211" i="21"/>
  <c r="BV211" i="21"/>
  <c r="BX211" i="21"/>
  <c r="AH174" i="21"/>
  <c r="AI174" i="21" s="1"/>
  <c r="M174" i="21"/>
  <c r="K174" i="21"/>
  <c r="AD174" i="21"/>
  <c r="S190" i="21"/>
  <c r="T190" i="21" s="1"/>
  <c r="X190" i="21"/>
  <c r="Y190" i="21" s="1"/>
  <c r="W210" i="19"/>
  <c r="L212" i="19"/>
  <c r="M212" i="19" s="1"/>
  <c r="T211" i="19"/>
  <c r="U211" i="19" s="1"/>
  <c r="AY177" i="21" l="1"/>
  <c r="AX177" i="21"/>
  <c r="AW177" i="21"/>
  <c r="AZ177" i="21"/>
  <c r="AV178" i="21" s="1"/>
  <c r="BB177" i="21"/>
  <c r="BC177" i="21" s="1"/>
  <c r="AT177" i="21"/>
  <c r="BK177" i="21"/>
  <c r="BJ177" i="21"/>
  <c r="BF178" i="21" s="1"/>
  <c r="BY211" i="21"/>
  <c r="BU212" i="21" s="1"/>
  <c r="BX212" i="21" s="1"/>
  <c r="N174" i="21"/>
  <c r="AR174" i="21" s="1"/>
  <c r="AJ174" i="21"/>
  <c r="AK174" i="21" s="1"/>
  <c r="AG175" i="21" s="1"/>
  <c r="AQ174" i="21"/>
  <c r="AE174" i="21" s="1"/>
  <c r="AF174" i="21" s="1"/>
  <c r="AB175" i="21" s="1"/>
  <c r="L174" i="21"/>
  <c r="AO183" i="21"/>
  <c r="AP183" i="21" s="1"/>
  <c r="AL184" i="21" s="1"/>
  <c r="N212" i="19"/>
  <c r="O212" i="19"/>
  <c r="J213" i="19" s="1"/>
  <c r="K213" i="19" s="1"/>
  <c r="V211" i="19"/>
  <c r="X211" i="19" s="1"/>
  <c r="S212" i="19" s="1"/>
  <c r="Y211" i="19"/>
  <c r="AW178" i="21" l="1"/>
  <c r="AY178" i="21"/>
  <c r="AX178" i="21"/>
  <c r="AZ178" i="21"/>
  <c r="AV179" i="21" s="1"/>
  <c r="BV212" i="21"/>
  <c r="BS177" i="21"/>
  <c r="BT177" i="21" s="1"/>
  <c r="BP178" i="21" s="1"/>
  <c r="BQ178" i="21" s="1"/>
  <c r="BR178" i="21" s="1"/>
  <c r="BN177" i="21"/>
  <c r="BL177" i="21"/>
  <c r="AU177" i="21"/>
  <c r="BZ177" i="21"/>
  <c r="BD177" i="21" s="1"/>
  <c r="BE177" i="21" s="1"/>
  <c r="BA178" i="21" s="1"/>
  <c r="BB178" i="21" s="1"/>
  <c r="BC178" i="21" s="1"/>
  <c r="BH178" i="21"/>
  <c r="BG178" i="21"/>
  <c r="BI178" i="21"/>
  <c r="BJ178" i="21"/>
  <c r="BF179" i="21" s="1"/>
  <c r="BW212" i="21"/>
  <c r="BY212" i="21" s="1"/>
  <c r="BU213" i="21" s="1"/>
  <c r="BX213" i="21" s="1"/>
  <c r="O174" i="21"/>
  <c r="P174" i="21" s="1"/>
  <c r="AH175" i="21"/>
  <c r="AI175" i="21" s="1"/>
  <c r="AC175" i="21"/>
  <c r="AD175" i="21" s="1"/>
  <c r="AM184" i="21"/>
  <c r="AN184" i="21"/>
  <c r="U190" i="21"/>
  <c r="V190" i="21" s="1"/>
  <c r="R191" i="21" s="1"/>
  <c r="Z190" i="21"/>
  <c r="AA190" i="21" s="1"/>
  <c r="W191" i="21" s="1"/>
  <c r="W211" i="19"/>
  <c r="P213" i="19"/>
  <c r="L213" i="19"/>
  <c r="T212" i="19"/>
  <c r="AX179" i="21" l="1"/>
  <c r="AY179" i="21"/>
  <c r="AW179" i="21"/>
  <c r="BW213" i="21"/>
  <c r="BY213" i="21" s="1"/>
  <c r="BU214" i="21" s="1"/>
  <c r="BV213" i="21"/>
  <c r="BM177" i="21"/>
  <c r="BO177" i="21" s="1"/>
  <c r="BK178" i="21" s="1"/>
  <c r="BL178" i="21" s="1"/>
  <c r="CA178" i="21" s="1"/>
  <c r="CA177" i="21"/>
  <c r="BG179" i="21"/>
  <c r="BH179" i="21"/>
  <c r="BI179" i="21"/>
  <c r="BJ179" i="21" s="1"/>
  <c r="BF180" i="21" s="1"/>
  <c r="Q174" i="21"/>
  <c r="M175" i="21" s="1"/>
  <c r="X191" i="21"/>
  <c r="Y191" i="21" s="1"/>
  <c r="S191" i="21"/>
  <c r="T191" i="21" s="1"/>
  <c r="U212" i="19"/>
  <c r="M213" i="19"/>
  <c r="O213" i="19" s="1"/>
  <c r="J214" i="19" s="1"/>
  <c r="Y212" i="19"/>
  <c r="K175" i="21" l="1"/>
  <c r="BX214" i="21"/>
  <c r="BV214" i="21"/>
  <c r="BW214" i="21"/>
  <c r="BY214" i="21" s="1"/>
  <c r="BU215" i="21" s="1"/>
  <c r="BX215" i="21" s="1"/>
  <c r="AZ179" i="21"/>
  <c r="AV180" i="21" s="1"/>
  <c r="BM178" i="21"/>
  <c r="AT178" i="21"/>
  <c r="BN178" i="21"/>
  <c r="BO178" i="21" s="1"/>
  <c r="BK179" i="21" s="1"/>
  <c r="BG180" i="21"/>
  <c r="BH180" i="21"/>
  <c r="BI180" i="21"/>
  <c r="BS178" i="21"/>
  <c r="BT178" i="21" s="1"/>
  <c r="BP179" i="21" s="1"/>
  <c r="BQ179" i="21" s="1"/>
  <c r="BR179" i="21" s="1"/>
  <c r="BW215" i="21"/>
  <c r="BV215" i="21"/>
  <c r="N175" i="21"/>
  <c r="AR175" i="21" s="1"/>
  <c r="L175" i="21"/>
  <c r="AQ175" i="21"/>
  <c r="AJ175" i="21" s="1"/>
  <c r="AK175" i="21" s="1"/>
  <c r="AG176" i="21" s="1"/>
  <c r="AO184" i="21"/>
  <c r="AP184" i="21" s="1"/>
  <c r="AL185" i="21" s="1"/>
  <c r="U191" i="21"/>
  <c r="V191" i="21" s="1"/>
  <c r="R192" i="21" s="1"/>
  <c r="Z191" i="21"/>
  <c r="AA191" i="21" s="1"/>
  <c r="W192" i="21" s="1"/>
  <c r="N213" i="19"/>
  <c r="K214" i="19"/>
  <c r="V212" i="19"/>
  <c r="X212" i="19" s="1"/>
  <c r="S213" i="19" s="1"/>
  <c r="AE175" i="21" l="1"/>
  <c r="AF175" i="21" s="1"/>
  <c r="AB176" i="21" s="1"/>
  <c r="AW180" i="21"/>
  <c r="AY180" i="21"/>
  <c r="AX180" i="21"/>
  <c r="AZ180" i="21"/>
  <c r="AV181" i="21" s="1"/>
  <c r="BY215" i="21"/>
  <c r="BU216" i="21" s="1"/>
  <c r="BJ180" i="21"/>
  <c r="BF181" i="21" s="1"/>
  <c r="BZ178" i="21"/>
  <c r="BD178" i="21" s="1"/>
  <c r="BE178" i="21" s="1"/>
  <c r="AU178" i="21"/>
  <c r="O175" i="21"/>
  <c r="P175" i="21" s="1"/>
  <c r="AH176" i="21"/>
  <c r="AI176" i="21" s="1"/>
  <c r="BL179" i="21"/>
  <c r="AC176" i="21"/>
  <c r="AD176" i="21" s="1"/>
  <c r="AM185" i="21"/>
  <c r="AN185" i="21" s="1"/>
  <c r="Z192" i="21"/>
  <c r="X192" i="21"/>
  <c r="Y192" i="21" s="1"/>
  <c r="AA192" i="21" s="1"/>
  <c r="W193" i="21" s="1"/>
  <c r="U192" i="21"/>
  <c r="S192" i="21"/>
  <c r="T192" i="21" s="1"/>
  <c r="T213" i="19"/>
  <c r="P214" i="19"/>
  <c r="W212" i="19"/>
  <c r="L214" i="19"/>
  <c r="BV216" i="21" l="1"/>
  <c r="BX216" i="21"/>
  <c r="BW216" i="21"/>
  <c r="AW181" i="21"/>
  <c r="AX181" i="21"/>
  <c r="AY181" i="21"/>
  <c r="AZ181" i="21"/>
  <c r="AV182" i="21" s="1"/>
  <c r="BA179" i="21"/>
  <c r="BN179" i="21" s="1"/>
  <c r="AT179" i="21"/>
  <c r="BI181" i="21"/>
  <c r="BG181" i="21"/>
  <c r="BH181" i="21"/>
  <c r="BJ181" i="21"/>
  <c r="BF182" i="21" s="1"/>
  <c r="BM179" i="21"/>
  <c r="Q175" i="21"/>
  <c r="K176" i="21" s="1"/>
  <c r="X193" i="21"/>
  <c r="Y193" i="21"/>
  <c r="V192" i="21"/>
  <c r="R193" i="21" s="1"/>
  <c r="M214" i="19"/>
  <c r="O214" i="19" s="1"/>
  <c r="J215" i="19" s="1"/>
  <c r="Y213" i="19"/>
  <c r="U213" i="19"/>
  <c r="M176" i="21" l="1"/>
  <c r="AY182" i="21"/>
  <c r="AW182" i="21"/>
  <c r="AX182" i="21"/>
  <c r="AZ182" i="21" s="1"/>
  <c r="AV183" i="21" s="1"/>
  <c r="BY216" i="21"/>
  <c r="BU217" i="21" s="1"/>
  <c r="BO179" i="21"/>
  <c r="BK180" i="21" s="1"/>
  <c r="BL180" i="21" s="1"/>
  <c r="BZ179" i="21"/>
  <c r="AU179" i="21"/>
  <c r="BI182" i="21"/>
  <c r="BH182" i="21"/>
  <c r="BG182" i="21"/>
  <c r="BB179" i="21"/>
  <c r="BS179" i="21"/>
  <c r="BT179" i="21" s="1"/>
  <c r="BP180" i="21" s="1"/>
  <c r="BQ180" i="21" s="1"/>
  <c r="BR180" i="21" s="1"/>
  <c r="L176" i="21"/>
  <c r="AQ176" i="21"/>
  <c r="AJ176" i="21" s="1"/>
  <c r="AK176" i="21" s="1"/>
  <c r="AG177" i="21" s="1"/>
  <c r="N176" i="21"/>
  <c r="AR176" i="21" s="1"/>
  <c r="AO185" i="21"/>
  <c r="AP185" i="21" s="1"/>
  <c r="AL186" i="21" s="1"/>
  <c r="S193" i="21"/>
  <c r="T193" i="21" s="1"/>
  <c r="N214" i="19"/>
  <c r="K215" i="19"/>
  <c r="V213" i="19"/>
  <c r="X213" i="19" s="1"/>
  <c r="S214" i="19" s="1"/>
  <c r="AE176" i="21" l="1"/>
  <c r="AF176" i="21" s="1"/>
  <c r="AB177" i="21" s="1"/>
  <c r="BX217" i="21"/>
  <c r="BV217" i="21"/>
  <c r="BW217" i="21"/>
  <c r="AW183" i="21"/>
  <c r="AY183" i="21"/>
  <c r="AX183" i="21"/>
  <c r="AZ183" i="21"/>
  <c r="AV184" i="21" s="1"/>
  <c r="BJ182" i="21"/>
  <c r="BF183" i="21" s="1"/>
  <c r="BI183" i="21" s="1"/>
  <c r="BC179" i="21"/>
  <c r="CA179" i="21"/>
  <c r="BD179" i="21"/>
  <c r="BE179" i="21" s="1"/>
  <c r="O176" i="21"/>
  <c r="P176" i="21" s="1"/>
  <c r="Q176" i="21" s="1"/>
  <c r="BM180" i="21"/>
  <c r="AH177" i="21"/>
  <c r="AI177" i="21" s="1"/>
  <c r="AC177" i="21"/>
  <c r="AD177" i="21" s="1"/>
  <c r="AM186" i="21"/>
  <c r="AN186" i="21" s="1"/>
  <c r="Z193" i="21"/>
  <c r="AA193" i="21" s="1"/>
  <c r="W194" i="21" s="1"/>
  <c r="U193" i="21"/>
  <c r="V193" i="21" s="1"/>
  <c r="R194" i="21" s="1"/>
  <c r="W213" i="19"/>
  <c r="T214" i="19"/>
  <c r="P215" i="19"/>
  <c r="L215" i="19"/>
  <c r="M177" i="21" l="1"/>
  <c r="K177" i="21"/>
  <c r="BH183" i="21"/>
  <c r="BJ183" i="21" s="1"/>
  <c r="BF184" i="21" s="1"/>
  <c r="BG184" i="21" s="1"/>
  <c r="BG183" i="21"/>
  <c r="AW184" i="21"/>
  <c r="AX184" i="21"/>
  <c r="AY184" i="21"/>
  <c r="AZ184" i="21" s="1"/>
  <c r="AV185" i="21" s="1"/>
  <c r="BY217" i="21"/>
  <c r="BU218" i="21" s="1"/>
  <c r="BA180" i="21"/>
  <c r="AT180" i="21"/>
  <c r="BI184" i="21"/>
  <c r="AQ177" i="21"/>
  <c r="L177" i="21"/>
  <c r="N177" i="21"/>
  <c r="AR177" i="21" s="1"/>
  <c r="S194" i="21"/>
  <c r="T194" i="21" s="1"/>
  <c r="X194" i="21"/>
  <c r="Y194" i="21" s="1"/>
  <c r="Y214" i="19"/>
  <c r="M215" i="19"/>
  <c r="O215" i="19" s="1"/>
  <c r="J216" i="19" s="1"/>
  <c r="U214" i="19"/>
  <c r="BH184" i="21" l="1"/>
  <c r="O177" i="21"/>
  <c r="P177" i="21" s="1"/>
  <c r="Q177" i="21" s="1"/>
  <c r="AY185" i="21"/>
  <c r="AW185" i="21"/>
  <c r="AX185" i="21"/>
  <c r="AZ185" i="21"/>
  <c r="AV186" i="21" s="1"/>
  <c r="BX218" i="21"/>
  <c r="BY218" i="21" s="1"/>
  <c r="BU219" i="21" s="1"/>
  <c r="BV218" i="21"/>
  <c r="BW218" i="21"/>
  <c r="BJ184" i="21"/>
  <c r="BF185" i="21" s="1"/>
  <c r="BZ180" i="21"/>
  <c r="AU180" i="21"/>
  <c r="BB180" i="21"/>
  <c r="BS180" i="21"/>
  <c r="BT180" i="21" s="1"/>
  <c r="BP181" i="21" s="1"/>
  <c r="BN180" i="21"/>
  <c r="BO180" i="21" s="1"/>
  <c r="BK181" i="21" s="1"/>
  <c r="BL181" i="21" s="1"/>
  <c r="AE177" i="21"/>
  <c r="AF177" i="21" s="1"/>
  <c r="AB178" i="21" s="1"/>
  <c r="AJ177" i="21"/>
  <c r="AK177" i="21" s="1"/>
  <c r="AG178" i="21" s="1"/>
  <c r="AO186" i="21"/>
  <c r="AP186" i="21" s="1"/>
  <c r="AL187" i="21" s="1"/>
  <c r="N215" i="19"/>
  <c r="K216" i="19"/>
  <c r="V214" i="19"/>
  <c r="X214" i="19" s="1"/>
  <c r="S215" i="19" s="1"/>
  <c r="AW186" i="21" l="1"/>
  <c r="AY186" i="21"/>
  <c r="AX186" i="21"/>
  <c r="AZ186" i="21"/>
  <c r="AV187" i="21" s="1"/>
  <c r="BW219" i="21"/>
  <c r="BV219" i="21"/>
  <c r="BX219" i="21"/>
  <c r="BY219" i="21"/>
  <c r="BU220" i="21" s="1"/>
  <c r="BM181" i="21"/>
  <c r="BC180" i="21"/>
  <c r="CA180" i="21"/>
  <c r="BD180" i="21"/>
  <c r="BE180" i="21" s="1"/>
  <c r="BQ181" i="21"/>
  <c r="BR181" i="21" s="1"/>
  <c r="BG185" i="21"/>
  <c r="BH185" i="21"/>
  <c r="BI185" i="21"/>
  <c r="AH178" i="21"/>
  <c r="AI178" i="21" s="1"/>
  <c r="M178" i="21"/>
  <c r="K178" i="21"/>
  <c r="AC178" i="21"/>
  <c r="AD178" i="21" s="1"/>
  <c r="AM187" i="21"/>
  <c r="AN187" i="21" s="1"/>
  <c r="Z194" i="21"/>
  <c r="AA194" i="21" s="1"/>
  <c r="W195" i="21" s="1"/>
  <c r="U194" i="21"/>
  <c r="V194" i="21" s="1"/>
  <c r="R195" i="21" s="1"/>
  <c r="W214" i="19"/>
  <c r="T215" i="19"/>
  <c r="P216" i="19"/>
  <c r="L216" i="19"/>
  <c r="BX220" i="21" l="1"/>
  <c r="BW220" i="21"/>
  <c r="BY220" i="21" s="1"/>
  <c r="BU221" i="21" s="1"/>
  <c r="BV220" i="21"/>
  <c r="AX187" i="21"/>
  <c r="AW187" i="21"/>
  <c r="AY187" i="21"/>
  <c r="AZ187" i="21" s="1"/>
  <c r="AV188" i="21" s="1"/>
  <c r="BA181" i="21"/>
  <c r="BN181" i="21" s="1"/>
  <c r="BO181" i="21" s="1"/>
  <c r="BK182" i="21" s="1"/>
  <c r="BL182" i="21" s="1"/>
  <c r="AT181" i="21"/>
  <c r="BJ185" i="21"/>
  <c r="BF186" i="21" s="1"/>
  <c r="N178" i="21"/>
  <c r="AR178" i="21" s="1"/>
  <c r="AQ178" i="21"/>
  <c r="AE178" i="21" s="1"/>
  <c r="AF178" i="21" s="1"/>
  <c r="AB179" i="21" s="1"/>
  <c r="L178" i="21"/>
  <c r="X195" i="21"/>
  <c r="Y195" i="21" s="1"/>
  <c r="S195" i="21"/>
  <c r="T195" i="21" s="1"/>
  <c r="M216" i="19"/>
  <c r="N216" i="19" s="1"/>
  <c r="Y215" i="19"/>
  <c r="U215" i="19"/>
  <c r="BV221" i="21" l="1"/>
  <c r="BX221" i="21"/>
  <c r="BW221" i="21"/>
  <c r="BY221" i="21" s="1"/>
  <c r="BU222" i="21" s="1"/>
  <c r="BX222" i="21" s="1"/>
  <c r="AX188" i="21"/>
  <c r="AY188" i="21"/>
  <c r="AZ188" i="21" s="1"/>
  <c r="AV189" i="21" s="1"/>
  <c r="AW188" i="21"/>
  <c r="BG186" i="21"/>
  <c r="BI186" i="21"/>
  <c r="BH186" i="21"/>
  <c r="BZ181" i="21"/>
  <c r="AU181" i="21"/>
  <c r="BB181" i="21"/>
  <c r="BS181" i="21"/>
  <c r="BT181" i="21" s="1"/>
  <c r="BP182" i="21" s="1"/>
  <c r="O216" i="19"/>
  <c r="J217" i="19" s="1"/>
  <c r="O178" i="21"/>
  <c r="P178" i="21" s="1"/>
  <c r="Q178" i="21" s="1"/>
  <c r="AJ178" i="21"/>
  <c r="AK178" i="21" s="1"/>
  <c r="AG179" i="21" s="1"/>
  <c r="AH179" i="21" s="1"/>
  <c r="AC179" i="21"/>
  <c r="AD179" i="21"/>
  <c r="AO187" i="21"/>
  <c r="AP187" i="21" s="1"/>
  <c r="AL188" i="21" s="1"/>
  <c r="BM182" i="21"/>
  <c r="U195" i="21"/>
  <c r="V195" i="21" s="1"/>
  <c r="R196" i="21" s="1"/>
  <c r="S196" i="21" s="1"/>
  <c r="T196" i="21" s="1"/>
  <c r="Z195" i="21"/>
  <c r="AA195" i="21" s="1"/>
  <c r="W196" i="21" s="1"/>
  <c r="V215" i="19"/>
  <c r="W215" i="19" s="1"/>
  <c r="X215" i="19"/>
  <c r="S216" i="19" s="1"/>
  <c r="K217" i="19"/>
  <c r="L217" i="19" s="1"/>
  <c r="BW222" i="21" l="1"/>
  <c r="BY222" i="21" s="1"/>
  <c r="BU223" i="21" s="1"/>
  <c r="BV223" i="21" s="1"/>
  <c r="AW189" i="21"/>
  <c r="AX189" i="21"/>
  <c r="AY189" i="21"/>
  <c r="AZ189" i="21" s="1"/>
  <c r="AV190" i="21" s="1"/>
  <c r="BJ186" i="21"/>
  <c r="BF187" i="21" s="1"/>
  <c r="BG187" i="21" s="1"/>
  <c r="BX223" i="21"/>
  <c r="BW223" i="21"/>
  <c r="BY223" i="21" s="1"/>
  <c r="BU224" i="21" s="1"/>
  <c r="BV224" i="21" s="1"/>
  <c r="BV222" i="21"/>
  <c r="BQ182" i="21"/>
  <c r="BR182" i="21" s="1"/>
  <c r="BC181" i="21"/>
  <c r="BD181" i="21" s="1"/>
  <c r="BE181" i="21" s="1"/>
  <c r="CA181" i="21"/>
  <c r="AI179" i="21"/>
  <c r="M179" i="21"/>
  <c r="K179" i="21"/>
  <c r="AM188" i="21"/>
  <c r="AN188" i="21" s="1"/>
  <c r="X196" i="21"/>
  <c r="Y196" i="21"/>
  <c r="M217" i="19"/>
  <c r="O217" i="19" s="1"/>
  <c r="J218" i="19" s="1"/>
  <c r="P217" i="19"/>
  <c r="T216" i="19"/>
  <c r="U216" i="19" s="1"/>
  <c r="BH187" i="21" l="1"/>
  <c r="BI187" i="21"/>
  <c r="AY190" i="21"/>
  <c r="AW190" i="21"/>
  <c r="AX190" i="21"/>
  <c r="AZ190" i="21" s="1"/>
  <c r="AV191" i="21" s="1"/>
  <c r="BA182" i="21"/>
  <c r="AT182" i="21"/>
  <c r="BW224" i="21"/>
  <c r="BX224" i="21"/>
  <c r="N179" i="21"/>
  <c r="AR179" i="21" s="1"/>
  <c r="L179" i="21"/>
  <c r="AQ179" i="21"/>
  <c r="AE179" i="21" s="1"/>
  <c r="AF179" i="21" s="1"/>
  <c r="AB180" i="21" s="1"/>
  <c r="U196" i="21"/>
  <c r="V196" i="21" s="1"/>
  <c r="R197" i="21" s="1"/>
  <c r="Z196" i="21"/>
  <c r="AA196" i="21" s="1"/>
  <c r="W197" i="21" s="1"/>
  <c r="N217" i="19"/>
  <c r="V216" i="19"/>
  <c r="X216" i="19"/>
  <c r="S217" i="19" s="1"/>
  <c r="W216" i="19"/>
  <c r="Y216" i="19"/>
  <c r="K218" i="19"/>
  <c r="P218" i="19" s="1"/>
  <c r="O179" i="21" l="1"/>
  <c r="BJ187" i="21"/>
  <c r="BF188" i="21" s="1"/>
  <c r="AW191" i="21"/>
  <c r="AX191" i="21"/>
  <c r="AY191" i="21"/>
  <c r="BZ182" i="21"/>
  <c r="AU182" i="21"/>
  <c r="BB182" i="21"/>
  <c r="BN182" i="21"/>
  <c r="BO182" i="21" s="1"/>
  <c r="BK183" i="21" s="1"/>
  <c r="BS182" i="21"/>
  <c r="BT182" i="21" s="1"/>
  <c r="BP183" i="21" s="1"/>
  <c r="BY224" i="21"/>
  <c r="BU225" i="21" s="1"/>
  <c r="P179" i="21"/>
  <c r="Q179" i="21" s="1"/>
  <c r="M180" i="21" s="1"/>
  <c r="AJ179" i="21"/>
  <c r="AK179" i="21" s="1"/>
  <c r="AG180" i="21" s="1"/>
  <c r="AC180" i="21"/>
  <c r="AD180" i="21" s="1"/>
  <c r="AO188" i="21"/>
  <c r="AP188" i="21" s="1"/>
  <c r="AL189" i="21" s="1"/>
  <c r="X197" i="21"/>
  <c r="Y197" i="21" s="1"/>
  <c r="S197" i="21"/>
  <c r="T197" i="21" s="1"/>
  <c r="L218" i="19"/>
  <c r="M218" i="19" s="1"/>
  <c r="N218" i="19" s="1"/>
  <c r="T217" i="19"/>
  <c r="BI188" i="21" l="1"/>
  <c r="BG188" i="21"/>
  <c r="BH188" i="21"/>
  <c r="BJ188" i="21" s="1"/>
  <c r="BF189" i="21" s="1"/>
  <c r="BG189" i="21" s="1"/>
  <c r="AZ191" i="21"/>
  <c r="AV192" i="21" s="1"/>
  <c r="BQ183" i="21"/>
  <c r="BR183" i="21" s="1"/>
  <c r="BL183" i="21"/>
  <c r="BC182" i="21"/>
  <c r="BD182" i="21" s="1"/>
  <c r="BE182" i="21" s="1"/>
  <c r="CA182" i="21"/>
  <c r="BV225" i="21"/>
  <c r="BX225" i="21"/>
  <c r="BW225" i="21"/>
  <c r="BY225" i="21" s="1"/>
  <c r="BU226" i="21" s="1"/>
  <c r="AH180" i="21"/>
  <c r="AI180" i="21" s="1"/>
  <c r="AJ180" i="21" s="1"/>
  <c r="AK180" i="21" s="1"/>
  <c r="AG181" i="21" s="1"/>
  <c r="K180" i="21"/>
  <c r="AQ180" i="21" s="1"/>
  <c r="AE180" i="21" s="1"/>
  <c r="AF180" i="21" s="1"/>
  <c r="AB181" i="21" s="1"/>
  <c r="N180" i="21"/>
  <c r="O180" i="21" s="1"/>
  <c r="AM189" i="21"/>
  <c r="AN189" i="21"/>
  <c r="O218" i="19"/>
  <c r="J219" i="19" s="1"/>
  <c r="K219" i="19" s="1"/>
  <c r="L219" i="19" s="1"/>
  <c r="U217" i="19"/>
  <c r="Y217" i="19"/>
  <c r="L180" i="21" l="1"/>
  <c r="BH189" i="21"/>
  <c r="BI189" i="21"/>
  <c r="AX192" i="21"/>
  <c r="AY192" i="21"/>
  <c r="AZ192" i="21" s="1"/>
  <c r="AV193" i="21" s="1"/>
  <c r="AW192" i="21"/>
  <c r="BA183" i="21"/>
  <c r="AT183" i="21"/>
  <c r="BM183" i="21"/>
  <c r="BV226" i="21"/>
  <c r="BW226" i="21"/>
  <c r="BX226" i="21"/>
  <c r="P180" i="21"/>
  <c r="Q180" i="21" s="1"/>
  <c r="M181" i="21" s="1"/>
  <c r="AH181" i="21"/>
  <c r="AI181" i="21"/>
  <c r="AR180" i="21"/>
  <c r="AC181" i="21"/>
  <c r="AD181" i="21" s="1"/>
  <c r="U197" i="21"/>
  <c r="V197" i="21" s="1"/>
  <c r="R198" i="21" s="1"/>
  <c r="Z197" i="21"/>
  <c r="AA197" i="21" s="1"/>
  <c r="W198" i="21" s="1"/>
  <c r="M219" i="19"/>
  <c r="O219" i="19" s="1"/>
  <c r="J220" i="19" s="1"/>
  <c r="P219" i="19"/>
  <c r="V217" i="19"/>
  <c r="W217" i="19" s="1"/>
  <c r="BN183" i="21" l="1"/>
  <c r="BO183" i="21" s="1"/>
  <c r="BK184" i="21" s="1"/>
  <c r="BL184" i="21" s="1"/>
  <c r="BJ189" i="21"/>
  <c r="BF190" i="21" s="1"/>
  <c r="AX193" i="21"/>
  <c r="AY193" i="21"/>
  <c r="AW193" i="21"/>
  <c r="AZ193" i="21"/>
  <c r="AV194" i="21" s="1"/>
  <c r="BM184" i="21"/>
  <c r="BB183" i="21"/>
  <c r="BS183" i="21"/>
  <c r="BT183" i="21" s="1"/>
  <c r="BP184" i="21" s="1"/>
  <c r="BY226" i="21"/>
  <c r="BU227" i="21" s="1"/>
  <c r="BX227" i="21" s="1"/>
  <c r="BZ183" i="21"/>
  <c r="AU183" i="21"/>
  <c r="K181" i="21"/>
  <c r="AQ181" i="21" s="1"/>
  <c r="AE181" i="21" s="1"/>
  <c r="AF181" i="21" s="1"/>
  <c r="AB182" i="21" s="1"/>
  <c r="N181" i="21"/>
  <c r="AR181" i="21" s="1"/>
  <c r="AO189" i="21"/>
  <c r="AP189" i="21" s="1"/>
  <c r="AL190" i="21" s="1"/>
  <c r="S198" i="21"/>
  <c r="T198" i="21" s="1"/>
  <c r="Y198" i="21"/>
  <c r="X198" i="21"/>
  <c r="X217" i="19"/>
  <c r="S218" i="19" s="1"/>
  <c r="N219" i="19"/>
  <c r="T218" i="19"/>
  <c r="K220" i="19"/>
  <c r="P220" i="19" s="1"/>
  <c r="BI190" i="21" l="1"/>
  <c r="BH190" i="21"/>
  <c r="BG190" i="21"/>
  <c r="BJ190" i="21"/>
  <c r="BF191" i="21" s="1"/>
  <c r="AX194" i="21"/>
  <c r="AW194" i="21"/>
  <c r="AY194" i="21"/>
  <c r="AZ194" i="21" s="1"/>
  <c r="AV195" i="21" s="1"/>
  <c r="BW227" i="21"/>
  <c r="BY227" i="21" s="1"/>
  <c r="BU228" i="21" s="1"/>
  <c r="BC183" i="21"/>
  <c r="BD183" i="21" s="1"/>
  <c r="BE183" i="21" s="1"/>
  <c r="CA183" i="21"/>
  <c r="BV227" i="21"/>
  <c r="BQ184" i="21"/>
  <c r="BR184" i="21" s="1"/>
  <c r="L181" i="21"/>
  <c r="O181" i="21"/>
  <c r="P181" i="21" s="1"/>
  <c r="Q181" i="21" s="1"/>
  <c r="M182" i="21" s="1"/>
  <c r="AJ181" i="21"/>
  <c r="AK181" i="21" s="1"/>
  <c r="AG182" i="21" s="1"/>
  <c r="AC182" i="21"/>
  <c r="AD182" i="21" s="1"/>
  <c r="AM190" i="21"/>
  <c r="AN190" i="21" s="1"/>
  <c r="L220" i="19"/>
  <c r="M220" i="19" s="1"/>
  <c r="Y218" i="19"/>
  <c r="U218" i="19"/>
  <c r="BI191" i="21" l="1"/>
  <c r="BG191" i="21"/>
  <c r="BH191" i="21"/>
  <c r="BJ191" i="21" s="1"/>
  <c r="BF192" i="21" s="1"/>
  <c r="BV228" i="21"/>
  <c r="BW228" i="21"/>
  <c r="BX228" i="21"/>
  <c r="BY228" i="21" s="1"/>
  <c r="BU229" i="21" s="1"/>
  <c r="BX229" i="21" s="1"/>
  <c r="AX195" i="21"/>
  <c r="AW195" i="21"/>
  <c r="AY195" i="21"/>
  <c r="BA184" i="21"/>
  <c r="AT184" i="21"/>
  <c r="AH182" i="21"/>
  <c r="AI182" i="21" s="1"/>
  <c r="AJ182" i="21" s="1"/>
  <c r="AK182" i="21" s="1"/>
  <c r="AG183" i="21" s="1"/>
  <c r="K182" i="21"/>
  <c r="L182" i="21" s="1"/>
  <c r="N182" i="21"/>
  <c r="O182" i="21" s="1"/>
  <c r="U198" i="21"/>
  <c r="V198" i="21" s="1"/>
  <c r="R199" i="21" s="1"/>
  <c r="Z198" i="21"/>
  <c r="AA198" i="21" s="1"/>
  <c r="W199" i="21" s="1"/>
  <c r="N220" i="19"/>
  <c r="O220" i="19"/>
  <c r="J221" i="19" s="1"/>
  <c r="K221" i="19" s="1"/>
  <c r="V218" i="19"/>
  <c r="X218" i="19" s="1"/>
  <c r="S219" i="19" s="1"/>
  <c r="BG192" i="21" l="1"/>
  <c r="BH192" i="21"/>
  <c r="BI192" i="21"/>
  <c r="BJ192" i="21" s="1"/>
  <c r="BF193" i="21" s="1"/>
  <c r="AZ195" i="21"/>
  <c r="AV196" i="21" s="1"/>
  <c r="AW196" i="21"/>
  <c r="AX196" i="21"/>
  <c r="AY196" i="21"/>
  <c r="AZ196" i="21" s="1"/>
  <c r="AV197" i="21" s="1"/>
  <c r="BV229" i="21"/>
  <c r="BW229" i="21"/>
  <c r="BY229" i="21" s="1"/>
  <c r="BU230" i="21" s="1"/>
  <c r="BW230" i="21" s="1"/>
  <c r="BZ184" i="21"/>
  <c r="AU184" i="21"/>
  <c r="BB184" i="21"/>
  <c r="CA184" i="21" s="1"/>
  <c r="BN184" i="21"/>
  <c r="BO184" i="21" s="1"/>
  <c r="BK185" i="21" s="1"/>
  <c r="BL185" i="21" s="1"/>
  <c r="BS184" i="21"/>
  <c r="BT184" i="21" s="1"/>
  <c r="BP185" i="21" s="1"/>
  <c r="AQ182" i="21"/>
  <c r="AR182" i="21"/>
  <c r="AH183" i="21"/>
  <c r="AI183" i="21" s="1"/>
  <c r="AO190" i="21"/>
  <c r="AP190" i="21" s="1"/>
  <c r="AL191" i="21" s="1"/>
  <c r="U199" i="21"/>
  <c r="S199" i="21"/>
  <c r="T199" i="21" s="1"/>
  <c r="X199" i="21"/>
  <c r="Z199" i="21"/>
  <c r="Y199" i="21"/>
  <c r="W218" i="19"/>
  <c r="P221" i="19"/>
  <c r="T219" i="19"/>
  <c r="L221" i="19"/>
  <c r="BM185" i="21" l="1"/>
  <c r="BH193" i="21"/>
  <c r="BG193" i="21"/>
  <c r="BI193" i="21"/>
  <c r="AW197" i="21"/>
  <c r="AX197" i="21"/>
  <c r="AY197" i="21"/>
  <c r="AZ197" i="21" s="1"/>
  <c r="AV198" i="21" s="1"/>
  <c r="BX230" i="21"/>
  <c r="BY230" i="21" s="1"/>
  <c r="BU231" i="21" s="1"/>
  <c r="BV230" i="21"/>
  <c r="BQ185" i="21"/>
  <c r="BR185" i="21" s="1"/>
  <c r="BC184" i="21"/>
  <c r="BD184" i="21" s="1"/>
  <c r="BE184" i="21" s="1"/>
  <c r="AE182" i="21"/>
  <c r="AF182" i="21" s="1"/>
  <c r="AB183" i="21" s="1"/>
  <c r="P182" i="21"/>
  <c r="Q182" i="21" s="1"/>
  <c r="AM191" i="21"/>
  <c r="AN191" i="21" s="1"/>
  <c r="V199" i="21"/>
  <c r="R200" i="21" s="1"/>
  <c r="T200" i="21" s="1"/>
  <c r="AA199" i="21"/>
  <c r="W200" i="21" s="1"/>
  <c r="Y219" i="19"/>
  <c r="M221" i="19"/>
  <c r="O221" i="19" s="1"/>
  <c r="J222" i="19" s="1"/>
  <c r="U219" i="19"/>
  <c r="BX231" i="21" l="1"/>
  <c r="BW231" i="21"/>
  <c r="BY231" i="21" s="1"/>
  <c r="BU232" i="21" s="1"/>
  <c r="BJ193" i="21"/>
  <c r="BF194" i="21" s="1"/>
  <c r="AX198" i="21"/>
  <c r="AY198" i="21"/>
  <c r="AZ198" i="21" s="1"/>
  <c r="AV199" i="21" s="1"/>
  <c r="AW198" i="21"/>
  <c r="BV231" i="21"/>
  <c r="BA185" i="21"/>
  <c r="AT185" i="21"/>
  <c r="AC183" i="21"/>
  <c r="AD183" i="21"/>
  <c r="M183" i="21"/>
  <c r="K183" i="21"/>
  <c r="S200" i="21"/>
  <c r="X200" i="21"/>
  <c r="Y200" i="21" s="1"/>
  <c r="N221" i="19"/>
  <c r="V219" i="19"/>
  <c r="X219" i="19" s="1"/>
  <c r="S220" i="19" s="1"/>
  <c r="K222" i="19"/>
  <c r="W219" i="19"/>
  <c r="BW232" i="21" l="1"/>
  <c r="BV232" i="21"/>
  <c r="BX232" i="21"/>
  <c r="BY232" i="21" s="1"/>
  <c r="BU233" i="21" s="1"/>
  <c r="BX233" i="21" s="1"/>
  <c r="BH194" i="21"/>
  <c r="BI194" i="21"/>
  <c r="BG194" i="21"/>
  <c r="BJ194" i="21"/>
  <c r="BF195" i="21" s="1"/>
  <c r="AY199" i="21"/>
  <c r="AW199" i="21"/>
  <c r="AX199" i="21"/>
  <c r="BZ185" i="21"/>
  <c r="AU185" i="21"/>
  <c r="BB185" i="21"/>
  <c r="BN185" i="21"/>
  <c r="BO185" i="21" s="1"/>
  <c r="BK186" i="21" s="1"/>
  <c r="BL186" i="21" s="1"/>
  <c r="BS185" i="21"/>
  <c r="BT185" i="21" s="1"/>
  <c r="BP186" i="21" s="1"/>
  <c r="BQ186" i="21" s="1"/>
  <c r="BR186" i="21" s="1"/>
  <c r="L183" i="21"/>
  <c r="AQ183" i="21"/>
  <c r="AJ183" i="21" s="1"/>
  <c r="AK183" i="21" s="1"/>
  <c r="AG184" i="21" s="1"/>
  <c r="AH184" i="21" s="1"/>
  <c r="AI184" i="21" s="1"/>
  <c r="N183" i="21"/>
  <c r="AR183" i="21" s="1"/>
  <c r="AO191" i="21"/>
  <c r="AP191" i="21" s="1"/>
  <c r="AL192" i="21" s="1"/>
  <c r="T220" i="19"/>
  <c r="P222" i="19"/>
  <c r="L222" i="19"/>
  <c r="AE183" i="21" l="1"/>
  <c r="AF183" i="21" s="1"/>
  <c r="AB184" i="21" s="1"/>
  <c r="BV233" i="21"/>
  <c r="BG195" i="21"/>
  <c r="BH195" i="21"/>
  <c r="BI195" i="21"/>
  <c r="BJ195" i="21"/>
  <c r="BF196" i="21" s="1"/>
  <c r="BW233" i="21"/>
  <c r="BY233" i="21" s="1"/>
  <c r="BU234" i="21" s="1"/>
  <c r="AZ199" i="21"/>
  <c r="AV200" i="21" s="1"/>
  <c r="AX200" i="21" s="1"/>
  <c r="BX234" i="21"/>
  <c r="BC185" i="21"/>
  <c r="CA185" i="21"/>
  <c r="O183" i="21"/>
  <c r="AM192" i="21"/>
  <c r="AN192" i="21"/>
  <c r="BM186" i="21"/>
  <c r="U200" i="21"/>
  <c r="V200" i="21" s="1"/>
  <c r="R201" i="21" s="1"/>
  <c r="Z200" i="21"/>
  <c r="AA200" i="21" s="1"/>
  <c r="W201" i="21" s="1"/>
  <c r="M222" i="19"/>
  <c r="O222" i="19" s="1"/>
  <c r="J223" i="19" s="1"/>
  <c r="Y220" i="19"/>
  <c r="U220" i="19"/>
  <c r="AC184" i="21" l="1"/>
  <c r="AD184" i="21" s="1"/>
  <c r="BW234" i="21"/>
  <c r="BY234" i="21" s="1"/>
  <c r="BU235" i="21" s="1"/>
  <c r="BV234" i="21"/>
  <c r="AW200" i="21"/>
  <c r="BI196" i="21"/>
  <c r="BG196" i="21"/>
  <c r="BH196" i="21"/>
  <c r="BJ196" i="21" s="1"/>
  <c r="BF197" i="21" s="1"/>
  <c r="AY200" i="21"/>
  <c r="AZ200" i="21"/>
  <c r="AV201" i="21" s="1"/>
  <c r="BD185" i="21"/>
  <c r="BE185" i="21" s="1"/>
  <c r="P183" i="21"/>
  <c r="Q183" i="21" s="1"/>
  <c r="S201" i="21"/>
  <c r="T201" i="21" s="1"/>
  <c r="X201" i="21"/>
  <c r="Y201" i="21"/>
  <c r="K223" i="19"/>
  <c r="V220" i="19"/>
  <c r="X220" i="19" s="1"/>
  <c r="S221" i="19" s="1"/>
  <c r="N222" i="19"/>
  <c r="BG197" i="21" l="1"/>
  <c r="BI197" i="21"/>
  <c r="BH197" i="21"/>
  <c r="BJ197" i="21" s="1"/>
  <c r="BF198" i="21" s="1"/>
  <c r="BV235" i="21"/>
  <c r="BX235" i="21"/>
  <c r="BW235" i="21"/>
  <c r="BY235" i="21"/>
  <c r="BU236" i="21" s="1"/>
  <c r="BW236" i="21" s="1"/>
  <c r="BA186" i="21"/>
  <c r="AT186" i="21"/>
  <c r="AU186" i="21" s="1"/>
  <c r="AX201" i="21"/>
  <c r="AY201" i="21"/>
  <c r="AW201" i="21"/>
  <c r="AZ201" i="21"/>
  <c r="AV202" i="21" s="1"/>
  <c r="BZ186" i="21"/>
  <c r="BN186" i="21" s="1"/>
  <c r="BO186" i="21" s="1"/>
  <c r="BK187" i="21" s="1"/>
  <c r="BL187" i="21" s="1"/>
  <c r="M184" i="21"/>
  <c r="K184" i="21"/>
  <c r="AO192" i="21"/>
  <c r="AP192" i="21" s="1"/>
  <c r="AL193" i="21" s="1"/>
  <c r="T221" i="19"/>
  <c r="P223" i="19"/>
  <c r="W220" i="19"/>
  <c r="L223" i="19"/>
  <c r="BB186" i="21" l="1"/>
  <c r="CA186" i="21" s="1"/>
  <c r="BG198" i="21"/>
  <c r="BI198" i="21"/>
  <c r="BH198" i="21"/>
  <c r="BJ198" i="21" s="1"/>
  <c r="BF199" i="21" s="1"/>
  <c r="BX236" i="21"/>
  <c r="BY236" i="21" s="1"/>
  <c r="BU237" i="21" s="1"/>
  <c r="BV237" i="21" s="1"/>
  <c r="BV236" i="21"/>
  <c r="BS186" i="21"/>
  <c r="BT186" i="21" s="1"/>
  <c r="BP187" i="21" s="1"/>
  <c r="BQ187" i="21" s="1"/>
  <c r="BR187" i="21" s="1"/>
  <c r="AY202" i="21"/>
  <c r="AX202" i="21"/>
  <c r="AW202" i="21"/>
  <c r="BI199" i="21"/>
  <c r="BG199" i="21"/>
  <c r="BH199" i="21"/>
  <c r="BJ199" i="21" s="1"/>
  <c r="BF200" i="21" s="1"/>
  <c r="N184" i="21"/>
  <c r="AR184" i="21" s="1"/>
  <c r="AJ184" i="21"/>
  <c r="AK184" i="21" s="1"/>
  <c r="AG185" i="21" s="1"/>
  <c r="L184" i="21"/>
  <c r="AQ184" i="21"/>
  <c r="AE184" i="21" s="1"/>
  <c r="AF184" i="21" s="1"/>
  <c r="AB185" i="21" s="1"/>
  <c r="AM193" i="21"/>
  <c r="AN193" i="21" s="1"/>
  <c r="BM187" i="21"/>
  <c r="U201" i="21"/>
  <c r="V201" i="21" s="1"/>
  <c r="R202" i="21" s="1"/>
  <c r="Z201" i="21"/>
  <c r="AA201" i="21" s="1"/>
  <c r="W202" i="21" s="1"/>
  <c r="M223" i="19"/>
  <c r="N223" i="19" s="1"/>
  <c r="Y221" i="19"/>
  <c r="U221" i="19"/>
  <c r="BW237" i="21" l="1"/>
  <c r="BX237" i="21"/>
  <c r="AZ202" i="21"/>
  <c r="AV203" i="21" s="1"/>
  <c r="BC186" i="21"/>
  <c r="AY203" i="21"/>
  <c r="AX203" i="21"/>
  <c r="AW203" i="21"/>
  <c r="AZ203" i="21"/>
  <c r="AV204" i="21" s="1"/>
  <c r="BI200" i="21"/>
  <c r="BG200" i="21"/>
  <c r="BH200" i="21"/>
  <c r="BJ200" i="21" s="1"/>
  <c r="BF201" i="21" s="1"/>
  <c r="BY237" i="21"/>
  <c r="BU238" i="21" s="1"/>
  <c r="BV238" i="21" s="1"/>
  <c r="AH185" i="21"/>
  <c r="AI185" i="21" s="1"/>
  <c r="AC185" i="21"/>
  <c r="AD185" i="21" s="1"/>
  <c r="O184" i="21"/>
  <c r="S202" i="21"/>
  <c r="T202" i="21" s="1"/>
  <c r="Y202" i="21"/>
  <c r="Z202" i="21"/>
  <c r="X202" i="21"/>
  <c r="O223" i="19"/>
  <c r="J224" i="19" s="1"/>
  <c r="K224" i="19" s="1"/>
  <c r="L224" i="19" s="1"/>
  <c r="M224" i="19" s="1"/>
  <c r="V221" i="19"/>
  <c r="X221" i="19" s="1"/>
  <c r="S222" i="19" s="1"/>
  <c r="W221" i="19"/>
  <c r="BD186" i="21" l="1"/>
  <c r="BE186" i="21" s="1"/>
  <c r="AW204" i="21"/>
  <c r="AX204" i="21"/>
  <c r="AY204" i="21"/>
  <c r="AZ204" i="21"/>
  <c r="AV205" i="21" s="1"/>
  <c r="BX238" i="21"/>
  <c r="BW238" i="21"/>
  <c r="BY238" i="21" s="1"/>
  <c r="BU239" i="21" s="1"/>
  <c r="BI201" i="21"/>
  <c r="BG201" i="21"/>
  <c r="BH201" i="21"/>
  <c r="P184" i="21"/>
  <c r="Q184" i="21" s="1"/>
  <c r="AO193" i="21"/>
  <c r="AP193" i="21" s="1"/>
  <c r="AL194" i="21" s="1"/>
  <c r="U202" i="21"/>
  <c r="V202" i="21" s="1"/>
  <c r="R203" i="21" s="1"/>
  <c r="S203" i="21" s="1"/>
  <c r="T203" i="21" s="1"/>
  <c r="AA202" i="21"/>
  <c r="W203" i="21" s="1"/>
  <c r="T222" i="19"/>
  <c r="O224" i="19"/>
  <c r="J225" i="19" s="1"/>
  <c r="N224" i="19"/>
  <c r="P224" i="19"/>
  <c r="BA187" i="21" l="1"/>
  <c r="AT187" i="21"/>
  <c r="BJ201" i="21"/>
  <c r="BF202" i="21" s="1"/>
  <c r="BI202" i="21" s="1"/>
  <c r="AW205" i="21"/>
  <c r="AX205" i="21"/>
  <c r="AY205" i="21"/>
  <c r="AZ205" i="21" s="1"/>
  <c r="AV206" i="21" s="1"/>
  <c r="BH202" i="21"/>
  <c r="M185" i="21"/>
  <c r="K185" i="21"/>
  <c r="BV239" i="21"/>
  <c r="BX239" i="21"/>
  <c r="BW239" i="21"/>
  <c r="BY239" i="21" s="1"/>
  <c r="BU240" i="21" s="1"/>
  <c r="AM194" i="21"/>
  <c r="AN194" i="21" s="1"/>
  <c r="X203" i="21"/>
  <c r="Y203" i="21" s="1"/>
  <c r="Z203" i="21"/>
  <c r="K225" i="19"/>
  <c r="P225" i="19" s="1"/>
  <c r="Y222" i="19"/>
  <c r="U222" i="19"/>
  <c r="BJ202" i="21" l="1"/>
  <c r="BF203" i="21" s="1"/>
  <c r="BG202" i="21"/>
  <c r="BZ187" i="21"/>
  <c r="BS187" i="21" s="1"/>
  <c r="BT187" i="21" s="1"/>
  <c r="BP188" i="21" s="1"/>
  <c r="BQ188" i="21" s="1"/>
  <c r="BR188" i="21" s="1"/>
  <c r="AU187" i="21"/>
  <c r="BB187" i="21"/>
  <c r="CA187" i="21" s="1"/>
  <c r="BN187" i="21"/>
  <c r="BO187" i="21" s="1"/>
  <c r="BK188" i="21" s="1"/>
  <c r="BC187" i="21"/>
  <c r="BD187" i="21" s="1"/>
  <c r="BE187" i="21" s="1"/>
  <c r="BA188" i="21" s="1"/>
  <c r="BB188" i="21" s="1"/>
  <c r="BC188" i="21" s="1"/>
  <c r="AW206" i="21"/>
  <c r="AY206" i="21"/>
  <c r="AX206" i="21"/>
  <c r="AZ206" i="21" s="1"/>
  <c r="AV207" i="21" s="1"/>
  <c r="BH203" i="21"/>
  <c r="BG203" i="21"/>
  <c r="BI203" i="21"/>
  <c r="N185" i="21"/>
  <c r="AR185" i="21" s="1"/>
  <c r="AJ185" i="21"/>
  <c r="AK185" i="21" s="1"/>
  <c r="AG186" i="21" s="1"/>
  <c r="AQ185" i="21"/>
  <c r="AE185" i="21" s="1"/>
  <c r="AF185" i="21" s="1"/>
  <c r="AB186" i="21" s="1"/>
  <c r="L185" i="21"/>
  <c r="BX240" i="21"/>
  <c r="BV240" i="21"/>
  <c r="BW240" i="21"/>
  <c r="AA203" i="21"/>
  <c r="W204" i="21" s="1"/>
  <c r="U203" i="21"/>
  <c r="V203" i="21" s="1"/>
  <c r="R204" i="21" s="1"/>
  <c r="L225" i="19"/>
  <c r="M225" i="19" s="1"/>
  <c r="O225" i="19" s="1"/>
  <c r="J226" i="19" s="1"/>
  <c r="V222" i="19"/>
  <c r="W222" i="19" s="1"/>
  <c r="O185" i="21" l="1"/>
  <c r="BS188" i="21"/>
  <c r="BT188" i="21" s="1"/>
  <c r="BP189" i="21" s="1"/>
  <c r="BQ189" i="21" s="1"/>
  <c r="BR189" i="21" s="1"/>
  <c r="BL188" i="21"/>
  <c r="CA188" i="21" s="1"/>
  <c r="BM188" i="21"/>
  <c r="AT188" i="21"/>
  <c r="AU188" i="21" s="1"/>
  <c r="AW207" i="21"/>
  <c r="AX207" i="21"/>
  <c r="AY207" i="21"/>
  <c r="BY240" i="21"/>
  <c r="BU241" i="21" s="1"/>
  <c r="BX241" i="21" s="1"/>
  <c r="BJ203" i="21"/>
  <c r="BF204" i="21" s="1"/>
  <c r="P185" i="21"/>
  <c r="Q185" i="21" s="1"/>
  <c r="AC186" i="21"/>
  <c r="AD186" i="21" s="1"/>
  <c r="AH186" i="21"/>
  <c r="AI186" i="21"/>
  <c r="AO194" i="21"/>
  <c r="AP194" i="21" s="1"/>
  <c r="AL195" i="21" s="1"/>
  <c r="X204" i="21"/>
  <c r="Y204" i="21" s="1"/>
  <c r="Z204" i="21"/>
  <c r="S204" i="21"/>
  <c r="T204" i="21" s="1"/>
  <c r="X222" i="19"/>
  <c r="S223" i="19" s="1"/>
  <c r="N225" i="19"/>
  <c r="K226" i="19"/>
  <c r="T223" i="19"/>
  <c r="U223" i="19" s="1"/>
  <c r="AZ207" i="21" l="1"/>
  <c r="AV208" i="21" s="1"/>
  <c r="BZ188" i="21"/>
  <c r="AW208" i="21"/>
  <c r="AX208" i="21"/>
  <c r="AY208" i="21"/>
  <c r="AZ208" i="21" s="1"/>
  <c r="AV209" i="21" s="1"/>
  <c r="BW241" i="21"/>
  <c r="BY241" i="21" s="1"/>
  <c r="BU242" i="21" s="1"/>
  <c r="BV242" i="21" s="1"/>
  <c r="BN188" i="21"/>
  <c r="BO188" i="21" s="1"/>
  <c r="BD188" i="21"/>
  <c r="BE188" i="21" s="1"/>
  <c r="BA189" i="21" s="1"/>
  <c r="BB189" i="21" s="1"/>
  <c r="BC189" i="21" s="1"/>
  <c r="BV241" i="21"/>
  <c r="BH204" i="21"/>
  <c r="BI204" i="21"/>
  <c r="BJ204" i="21" s="1"/>
  <c r="BF205" i="21" s="1"/>
  <c r="BG204" i="21"/>
  <c r="K186" i="21"/>
  <c r="M186" i="21"/>
  <c r="AM195" i="21"/>
  <c r="AN195" i="21" s="1"/>
  <c r="AA204" i="21"/>
  <c r="W205" i="21" s="1"/>
  <c r="X205" i="21" s="1"/>
  <c r="V223" i="19"/>
  <c r="X223" i="19" s="1"/>
  <c r="S224" i="19" s="1"/>
  <c r="Y223" i="19"/>
  <c r="P226" i="19"/>
  <c r="L226" i="19"/>
  <c r="AY209" i="21" l="1"/>
  <c r="AX209" i="21"/>
  <c r="AW209" i="21"/>
  <c r="AZ209" i="21"/>
  <c r="AV210" i="21" s="1"/>
  <c r="AT189" i="21"/>
  <c r="BK189" i="21"/>
  <c r="BL189" i="21" s="1"/>
  <c r="CA189" i="21" s="1"/>
  <c r="BW242" i="21"/>
  <c r="BX242" i="21"/>
  <c r="BY242" i="21" s="1"/>
  <c r="BU243" i="21" s="1"/>
  <c r="BX243" i="21" s="1"/>
  <c r="BI205" i="21"/>
  <c r="BH205" i="21"/>
  <c r="BG205" i="21"/>
  <c r="BJ205" i="21"/>
  <c r="BF206" i="21" s="1"/>
  <c r="N186" i="21"/>
  <c r="AR186" i="21" s="1"/>
  <c r="AJ186" i="21"/>
  <c r="AK186" i="21" s="1"/>
  <c r="AG187" i="21" s="1"/>
  <c r="AE186" i="21"/>
  <c r="AF186" i="21" s="1"/>
  <c r="AB187" i="21" s="1"/>
  <c r="L186" i="21"/>
  <c r="AQ186" i="21"/>
  <c r="Y205" i="21"/>
  <c r="U204" i="21"/>
  <c r="V204" i="21" s="1"/>
  <c r="R205" i="21" s="1"/>
  <c r="S205" i="21" s="1"/>
  <c r="W223" i="19"/>
  <c r="M226" i="19"/>
  <c r="O226" i="19" s="1"/>
  <c r="J227" i="19" s="1"/>
  <c r="T224" i="19"/>
  <c r="Y224" i="19" s="1"/>
  <c r="AY210" i="21" l="1"/>
  <c r="AW210" i="21"/>
  <c r="AX210" i="21"/>
  <c r="AZ210" i="21"/>
  <c r="AV211" i="21" s="1"/>
  <c r="AU189" i="21"/>
  <c r="BZ189" i="21"/>
  <c r="BD189" i="21" s="1"/>
  <c r="BE189" i="21" s="1"/>
  <c r="BS189" i="21"/>
  <c r="BT189" i="21" s="1"/>
  <c r="BP190" i="21" s="1"/>
  <c r="BQ190" i="21" s="1"/>
  <c r="BR190" i="21" s="1"/>
  <c r="BM189" i="21"/>
  <c r="BN189" i="21" s="1"/>
  <c r="BO189" i="21" s="1"/>
  <c r="BK190" i="21" s="1"/>
  <c r="BL190" i="21" s="1"/>
  <c r="BV243" i="21"/>
  <c r="BH206" i="21"/>
  <c r="BG206" i="21"/>
  <c r="BI206" i="21"/>
  <c r="AC187" i="21"/>
  <c r="AD187" i="21" s="1"/>
  <c r="AH187" i="21"/>
  <c r="AI187" i="21" s="1"/>
  <c r="O186" i="21"/>
  <c r="BW243" i="21"/>
  <c r="BY243" i="21" s="1"/>
  <c r="BU244" i="21" s="1"/>
  <c r="T205" i="21"/>
  <c r="AO195" i="21"/>
  <c r="AP195" i="21" s="1"/>
  <c r="AL196" i="21" s="1"/>
  <c r="U205" i="21"/>
  <c r="Z205" i="21"/>
  <c r="AA205" i="21" s="1"/>
  <c r="W206" i="21" s="1"/>
  <c r="U224" i="19"/>
  <c r="V224" i="19" s="1"/>
  <c r="X224" i="19" s="1"/>
  <c r="S225" i="19" s="1"/>
  <c r="N226" i="19"/>
  <c r="K227" i="19"/>
  <c r="BA190" i="21" l="1"/>
  <c r="BB190" i="21" s="1"/>
  <c r="BC190" i="21" s="1"/>
  <c r="AT190" i="21"/>
  <c r="BZ190" i="21" s="1"/>
  <c r="BD190" i="21" s="1"/>
  <c r="BE190" i="21" s="1"/>
  <c r="BA191" i="21" s="1"/>
  <c r="BB191" i="21" s="1"/>
  <c r="BC191" i="21" s="1"/>
  <c r="AY211" i="21"/>
  <c r="AX211" i="21"/>
  <c r="AZ211" i="21" s="1"/>
  <c r="AV212" i="21" s="1"/>
  <c r="AW211" i="21"/>
  <c r="CA190" i="21"/>
  <c r="BS190" i="21"/>
  <c r="BT190" i="21" s="1"/>
  <c r="BP191" i="21" s="1"/>
  <c r="BQ191" i="21" s="1"/>
  <c r="BR191" i="21" s="1"/>
  <c r="BJ206" i="21"/>
  <c r="BF207" i="21" s="1"/>
  <c r="BW244" i="21"/>
  <c r="BX244" i="21"/>
  <c r="BY244" i="21" s="1"/>
  <c r="BU245" i="21" s="1"/>
  <c r="BV244" i="21"/>
  <c r="AU190" i="21"/>
  <c r="P186" i="21"/>
  <c r="Q186" i="21" s="1"/>
  <c r="V205" i="21"/>
  <c r="R206" i="21" s="1"/>
  <c r="S206" i="21" s="1"/>
  <c r="T206" i="21" s="1"/>
  <c r="AN196" i="21"/>
  <c r="AM196" i="21"/>
  <c r="X206" i="21"/>
  <c r="Y206" i="21"/>
  <c r="BM190" i="21"/>
  <c r="BN190" i="21" s="1"/>
  <c r="BO190" i="21" s="1"/>
  <c r="W224" i="19"/>
  <c r="T225" i="19"/>
  <c r="P227" i="19"/>
  <c r="L227" i="19"/>
  <c r="AY212" i="21" l="1"/>
  <c r="AW212" i="21"/>
  <c r="AX212" i="21"/>
  <c r="AZ212" i="21"/>
  <c r="AV213" i="21" s="1"/>
  <c r="BG207" i="21"/>
  <c r="BI207" i="21"/>
  <c r="BH207" i="21"/>
  <c r="BJ207" i="21" s="1"/>
  <c r="BF208" i="21" s="1"/>
  <c r="M187" i="21"/>
  <c r="K187" i="21"/>
  <c r="BV245" i="21"/>
  <c r="BW245" i="21"/>
  <c r="BX245" i="21"/>
  <c r="AT191" i="21"/>
  <c r="BK191" i="21"/>
  <c r="M227" i="19"/>
  <c r="O227" i="19" s="1"/>
  <c r="J228" i="19" s="1"/>
  <c r="Y225" i="19"/>
  <c r="U225" i="19"/>
  <c r="BY245" i="21" l="1"/>
  <c r="BU246" i="21" s="1"/>
  <c r="AY213" i="21"/>
  <c r="AX213" i="21"/>
  <c r="AW213" i="21"/>
  <c r="AZ213" i="21"/>
  <c r="AV214" i="21" s="1"/>
  <c r="BI208" i="21"/>
  <c r="BH208" i="21"/>
  <c r="BJ208" i="21" s="1"/>
  <c r="BF209" i="21" s="1"/>
  <c r="BG208" i="21"/>
  <c r="N187" i="21"/>
  <c r="AR187" i="21" s="1"/>
  <c r="L187" i="21"/>
  <c r="AQ187" i="21"/>
  <c r="AE187" i="21" s="1"/>
  <c r="AF187" i="21" s="1"/>
  <c r="AB188" i="21" s="1"/>
  <c r="BW246" i="21"/>
  <c r="BX246" i="21"/>
  <c r="BV246" i="21"/>
  <c r="AO196" i="21"/>
  <c r="AP196" i="21" s="1"/>
  <c r="AL197" i="21" s="1"/>
  <c r="BL191" i="21"/>
  <c r="CA191" i="21" s="1"/>
  <c r="BS191" i="21"/>
  <c r="BT191" i="21" s="1"/>
  <c r="BP192" i="21" s="1"/>
  <c r="U206" i="21"/>
  <c r="V206" i="21" s="1"/>
  <c r="R207" i="21" s="1"/>
  <c r="Z206" i="21"/>
  <c r="AA206" i="21" s="1"/>
  <c r="W207" i="21" s="1"/>
  <c r="AU191" i="21"/>
  <c r="BZ191" i="21"/>
  <c r="BD191" i="21" s="1"/>
  <c r="BE191" i="21" s="1"/>
  <c r="BA192" i="21" s="1"/>
  <c r="N227" i="19"/>
  <c r="V225" i="19"/>
  <c r="X225" i="19" s="1"/>
  <c r="S226" i="19" s="1"/>
  <c r="K228" i="19"/>
  <c r="AJ187" i="21" l="1"/>
  <c r="AK187" i="21" s="1"/>
  <c r="AG188" i="21" s="1"/>
  <c r="AH188" i="21" s="1"/>
  <c r="AI188" i="21" s="1"/>
  <c r="AW214" i="21"/>
  <c r="AY214" i="21"/>
  <c r="AX214" i="21"/>
  <c r="AZ214" i="21"/>
  <c r="AV215" i="21" s="1"/>
  <c r="BH209" i="21"/>
  <c r="BI209" i="21"/>
  <c r="BG209" i="21"/>
  <c r="BB192" i="21"/>
  <c r="BC192" i="21" s="1"/>
  <c r="AC188" i="21"/>
  <c r="AD188" i="21" s="1"/>
  <c r="O187" i="21"/>
  <c r="BY246" i="21"/>
  <c r="BU247" i="21" s="1"/>
  <c r="AM197" i="21"/>
  <c r="AN197" i="21"/>
  <c r="BQ192" i="21"/>
  <c r="BR192" i="21" s="1"/>
  <c r="X207" i="21"/>
  <c r="Y207" i="21"/>
  <c r="Z207" i="21"/>
  <c r="BM191" i="21"/>
  <c r="U207" i="21"/>
  <c r="S207" i="21"/>
  <c r="T207" i="21" s="1"/>
  <c r="W225" i="19"/>
  <c r="P228" i="19"/>
  <c r="L228" i="19"/>
  <c r="T226" i="19"/>
  <c r="BJ209" i="21" l="1"/>
  <c r="BF210" i="21" s="1"/>
  <c r="AW215" i="21"/>
  <c r="AX215" i="21"/>
  <c r="AY215" i="21"/>
  <c r="AZ215" i="21"/>
  <c r="AV216" i="21" s="1"/>
  <c r="BH210" i="21"/>
  <c r="BI210" i="21"/>
  <c r="BG210" i="21"/>
  <c r="P187" i="21"/>
  <c r="Q187" i="21" s="1"/>
  <c r="BV247" i="21"/>
  <c r="BW247" i="21"/>
  <c r="BX247" i="21"/>
  <c r="V207" i="21"/>
  <c r="R208" i="21" s="1"/>
  <c r="S208" i="21" s="1"/>
  <c r="T208" i="21" s="1"/>
  <c r="BN191" i="21"/>
  <c r="BO191" i="21" s="1"/>
  <c r="AA207" i="21"/>
  <c r="W208" i="21" s="1"/>
  <c r="M228" i="19"/>
  <c r="O228" i="19" s="1"/>
  <c r="J229" i="19" s="1"/>
  <c r="Y226" i="19"/>
  <c r="U226" i="19"/>
  <c r="AY216" i="21" l="1"/>
  <c r="AW216" i="21"/>
  <c r="AX216" i="21"/>
  <c r="AZ216" i="21" s="1"/>
  <c r="AV217" i="21" s="1"/>
  <c r="BJ210" i="21"/>
  <c r="BF211" i="21" s="1"/>
  <c r="M188" i="21"/>
  <c r="K188" i="21"/>
  <c r="BY247" i="21"/>
  <c r="BU248" i="21" s="1"/>
  <c r="AO197" i="21"/>
  <c r="AP197" i="21" s="1"/>
  <c r="AL198" i="21" s="1"/>
  <c r="BK192" i="21"/>
  <c r="AT192" i="21"/>
  <c r="Z208" i="21"/>
  <c r="X208" i="21"/>
  <c r="Y208" i="21" s="1"/>
  <c r="N228" i="19"/>
  <c r="V226" i="19"/>
  <c r="X226" i="19" s="1"/>
  <c r="S227" i="19" s="1"/>
  <c r="K229" i="19"/>
  <c r="W226" i="19"/>
  <c r="AA208" i="21" l="1"/>
  <c r="W209" i="21" s="1"/>
  <c r="AY217" i="21"/>
  <c r="AW217" i="21"/>
  <c r="AX217" i="21"/>
  <c r="AZ217" i="21" s="1"/>
  <c r="AV218" i="21" s="1"/>
  <c r="BI211" i="21"/>
  <c r="BG211" i="21"/>
  <c r="BH211" i="21"/>
  <c r="L188" i="21"/>
  <c r="AQ188" i="21"/>
  <c r="AE188" i="21" s="1"/>
  <c r="AF188" i="21" s="1"/>
  <c r="AB189" i="21" s="1"/>
  <c r="N188" i="21"/>
  <c r="AR188" i="21" s="1"/>
  <c r="BW248" i="21"/>
  <c r="BV248" i="21"/>
  <c r="BX248" i="21"/>
  <c r="AM198" i="21"/>
  <c r="AN198" i="21" s="1"/>
  <c r="X209" i="21"/>
  <c r="Y209" i="21"/>
  <c r="AU192" i="21"/>
  <c r="BZ192" i="21"/>
  <c r="BD192" i="21" s="1"/>
  <c r="BE192" i="21" s="1"/>
  <c r="BA193" i="21" s="1"/>
  <c r="BL192" i="21"/>
  <c r="CA192" i="21" s="1"/>
  <c r="BS192" i="21"/>
  <c r="BT192" i="21" s="1"/>
  <c r="BP193" i="21" s="1"/>
  <c r="U208" i="21"/>
  <c r="V208" i="21" s="1"/>
  <c r="R209" i="21" s="1"/>
  <c r="T227" i="19"/>
  <c r="P229" i="19"/>
  <c r="L229" i="19"/>
  <c r="BJ211" i="21" l="1"/>
  <c r="BF212" i="21" s="1"/>
  <c r="AJ188" i="21"/>
  <c r="AK188" i="21" s="1"/>
  <c r="AG189" i="21" s="1"/>
  <c r="AY218" i="21"/>
  <c r="AX218" i="21"/>
  <c r="AZ218" i="21"/>
  <c r="AV219" i="21" s="1"/>
  <c r="AW218" i="21"/>
  <c r="BH212" i="21"/>
  <c r="BG212" i="21"/>
  <c r="BI212" i="21"/>
  <c r="O188" i="21"/>
  <c r="P188" i="21" s="1"/>
  <c r="BB193" i="21"/>
  <c r="BC193" i="21"/>
  <c r="BD193" i="21"/>
  <c r="BE193" i="21"/>
  <c r="BA194" i="21" s="1"/>
  <c r="AC189" i="21"/>
  <c r="AD189" i="21" s="1"/>
  <c r="AH189" i="21"/>
  <c r="AI189" i="21" s="1"/>
  <c r="BY248" i="21"/>
  <c r="BU249" i="21" s="1"/>
  <c r="BQ193" i="21"/>
  <c r="BR193" i="21" s="1"/>
  <c r="S209" i="21"/>
  <c r="T209" i="21" s="1"/>
  <c r="BM192" i="21"/>
  <c r="M229" i="19"/>
  <c r="O229" i="19" s="1"/>
  <c r="J230" i="19" s="1"/>
  <c r="Y227" i="19"/>
  <c r="U227" i="19"/>
  <c r="Q188" i="21" l="1"/>
  <c r="AX219" i="21"/>
  <c r="AW219" i="21"/>
  <c r="AY219" i="21"/>
  <c r="BJ212" i="21"/>
  <c r="BF213" i="21" s="1"/>
  <c r="BI213" i="21" s="1"/>
  <c r="BH213" i="21"/>
  <c r="BD194" i="21"/>
  <c r="BC194" i="21"/>
  <c r="BB194" i="21"/>
  <c r="M189" i="21"/>
  <c r="K189" i="21"/>
  <c r="BV249" i="21"/>
  <c r="BX249" i="21"/>
  <c r="BW249" i="21"/>
  <c r="BY249" i="21"/>
  <c r="BU250" i="21" s="1"/>
  <c r="AO198" i="21"/>
  <c r="AP198" i="21" s="1"/>
  <c r="AL199" i="21" s="1"/>
  <c r="BN192" i="21"/>
  <c r="BO192" i="21" s="1"/>
  <c r="N229" i="19"/>
  <c r="K230" i="19"/>
  <c r="V227" i="19"/>
  <c r="X227" i="19" s="1"/>
  <c r="S228" i="19" s="1"/>
  <c r="BG213" i="21" l="1"/>
  <c r="BE194" i="21"/>
  <c r="BA195" i="21" s="1"/>
  <c r="AZ219" i="21"/>
  <c r="AV220" i="21" s="1"/>
  <c r="BJ213" i="21"/>
  <c r="BF214" i="21" s="1"/>
  <c r="BB195" i="21"/>
  <c r="BC195" i="21"/>
  <c r="BD195" i="21"/>
  <c r="AQ189" i="21"/>
  <c r="AE189" i="21" s="1"/>
  <c r="AF189" i="21" s="1"/>
  <c r="AB190" i="21" s="1"/>
  <c r="AC190" i="21" s="1"/>
  <c r="AD190" i="21" s="1"/>
  <c r="L189" i="21"/>
  <c r="N189" i="21"/>
  <c r="AR189" i="21" s="1"/>
  <c r="BW250" i="21"/>
  <c r="BV250" i="21"/>
  <c r="BX250" i="21"/>
  <c r="AM199" i="21"/>
  <c r="AN199" i="21" s="1"/>
  <c r="AT193" i="21"/>
  <c r="BK193" i="21"/>
  <c r="Z209" i="21"/>
  <c r="AA209" i="21" s="1"/>
  <c r="W210" i="21" s="1"/>
  <c r="U209" i="21"/>
  <c r="V209" i="21" s="1"/>
  <c r="R210" i="21" s="1"/>
  <c r="T228" i="19"/>
  <c r="P230" i="19"/>
  <c r="W227" i="19"/>
  <c r="L230" i="19"/>
  <c r="BE195" i="21" l="1"/>
  <c r="BA196" i="21" s="1"/>
  <c r="AJ189" i="21"/>
  <c r="AK189" i="21" s="1"/>
  <c r="AG190" i="21" s="1"/>
  <c r="AH190" i="21" s="1"/>
  <c r="AI190" i="21" s="1"/>
  <c r="BY250" i="21"/>
  <c r="BU251" i="21" s="1"/>
  <c r="BV251" i="21" s="1"/>
  <c r="AW220" i="21"/>
  <c r="AY220" i="21"/>
  <c r="AX220" i="21"/>
  <c r="AZ220" i="21" s="1"/>
  <c r="AV221" i="21" s="1"/>
  <c r="BI214" i="21"/>
  <c r="BG214" i="21"/>
  <c r="BH214" i="21"/>
  <c r="O189" i="21"/>
  <c r="BB196" i="21"/>
  <c r="BD196" i="21"/>
  <c r="BC196" i="21"/>
  <c r="BE196" i="21"/>
  <c r="BA197" i="21" s="1"/>
  <c r="BW251" i="21"/>
  <c r="BX251" i="21"/>
  <c r="S210" i="21"/>
  <c r="T210" i="21" s="1"/>
  <c r="BL193" i="21"/>
  <c r="CA193" i="21" s="1"/>
  <c r="BS193" i="21"/>
  <c r="BT193" i="21" s="1"/>
  <c r="BP194" i="21" s="1"/>
  <c r="X210" i="21"/>
  <c r="Y210" i="21" s="1"/>
  <c r="Z210" i="21"/>
  <c r="AU193" i="21"/>
  <c r="BZ193" i="21"/>
  <c r="Y228" i="19"/>
  <c r="M230" i="19"/>
  <c r="N230" i="19" s="1"/>
  <c r="U228" i="19"/>
  <c r="AY221" i="21" l="1"/>
  <c r="AX221" i="21"/>
  <c r="AZ221" i="21"/>
  <c r="AV222" i="21" s="1"/>
  <c r="AW221" i="21"/>
  <c r="BJ214" i="21"/>
  <c r="BF215" i="21" s="1"/>
  <c r="P189" i="21"/>
  <c r="Q189" i="21" s="1"/>
  <c r="BB197" i="21"/>
  <c r="BD197" i="21"/>
  <c r="BC197" i="21"/>
  <c r="BY251" i="21"/>
  <c r="BU252" i="21" s="1"/>
  <c r="AO199" i="21"/>
  <c r="AP199" i="21" s="1"/>
  <c r="AL200" i="21" s="1"/>
  <c r="U210" i="21"/>
  <c r="V210" i="21" s="1"/>
  <c r="R211" i="21" s="1"/>
  <c r="S211" i="21" s="1"/>
  <c r="T211" i="21" s="1"/>
  <c r="BM193" i="21"/>
  <c r="BQ194" i="21"/>
  <c r="BR194" i="21" s="1"/>
  <c r="AA210" i="21"/>
  <c r="W211" i="21" s="1"/>
  <c r="V228" i="19"/>
  <c r="X228" i="19" s="1"/>
  <c r="S229" i="19" s="1"/>
  <c r="O230" i="19"/>
  <c r="J231" i="19" s="1"/>
  <c r="W228" i="19"/>
  <c r="AX222" i="21" l="1"/>
  <c r="AY222" i="21"/>
  <c r="AW222" i="21"/>
  <c r="BG215" i="21"/>
  <c r="BI215" i="21"/>
  <c r="BH215" i="21"/>
  <c r="BE197" i="21"/>
  <c r="BA198" i="21" s="1"/>
  <c r="K190" i="21"/>
  <c r="M190" i="21"/>
  <c r="BX252" i="21"/>
  <c r="BV252" i="21"/>
  <c r="BW252" i="21"/>
  <c r="AM200" i="21"/>
  <c r="AN200" i="21" s="1"/>
  <c r="BN193" i="21"/>
  <c r="BO193" i="21" s="1"/>
  <c r="X211" i="21"/>
  <c r="Y211" i="21" s="1"/>
  <c r="K231" i="19"/>
  <c r="T229" i="19"/>
  <c r="U229" i="19" s="1"/>
  <c r="AZ222" i="21" l="1"/>
  <c r="AV223" i="21" s="1"/>
  <c r="AW223" i="21"/>
  <c r="AX223" i="21"/>
  <c r="AY223" i="21"/>
  <c r="BY252" i="21"/>
  <c r="BU253" i="21" s="1"/>
  <c r="BX253" i="21" s="1"/>
  <c r="BD198" i="21"/>
  <c r="BC198" i="21"/>
  <c r="BE198" i="21" s="1"/>
  <c r="BA199" i="21" s="1"/>
  <c r="BB198" i="21"/>
  <c r="BJ215" i="21"/>
  <c r="BF216" i="21" s="1"/>
  <c r="N190" i="21"/>
  <c r="AR190" i="21" s="1"/>
  <c r="AQ190" i="21"/>
  <c r="AE190" i="21" s="1"/>
  <c r="AF190" i="21" s="1"/>
  <c r="AB191" i="21" s="1"/>
  <c r="L190" i="21"/>
  <c r="BK194" i="21"/>
  <c r="AT194" i="21"/>
  <c r="U211" i="21"/>
  <c r="V211" i="21" s="1"/>
  <c r="R212" i="21" s="1"/>
  <c r="Z211" i="21"/>
  <c r="AA211" i="21" s="1"/>
  <c r="W212" i="21" s="1"/>
  <c r="V229" i="19"/>
  <c r="X229" i="19" s="1"/>
  <c r="S230" i="19" s="1"/>
  <c r="P231" i="19"/>
  <c r="W229" i="19"/>
  <c r="Y229" i="19"/>
  <c r="L231" i="19"/>
  <c r="O190" i="21" l="1"/>
  <c r="P190" i="21" s="1"/>
  <c r="AJ190" i="21"/>
  <c r="AK190" i="21" s="1"/>
  <c r="AG191" i="21" s="1"/>
  <c r="BV253" i="21"/>
  <c r="BW253" i="21"/>
  <c r="AZ223" i="21"/>
  <c r="AV224" i="21" s="1"/>
  <c r="BB199" i="21"/>
  <c r="BC199" i="21"/>
  <c r="BD199" i="21"/>
  <c r="BG216" i="21"/>
  <c r="BH216" i="21"/>
  <c r="BJ216" i="21" s="1"/>
  <c r="BF217" i="21" s="1"/>
  <c r="BI216" i="21"/>
  <c r="BY253" i="21"/>
  <c r="BU254" i="21" s="1"/>
  <c r="BV254" i="21" s="1"/>
  <c r="AC191" i="21"/>
  <c r="AD191" i="21" s="1"/>
  <c r="AH191" i="21"/>
  <c r="AI191" i="21" s="1"/>
  <c r="Q190" i="21"/>
  <c r="AO200" i="21"/>
  <c r="AP200" i="21" s="1"/>
  <c r="AL201" i="21" s="1"/>
  <c r="X212" i="21"/>
  <c r="Y212" i="21" s="1"/>
  <c r="S212" i="21"/>
  <c r="T212" i="21" s="1"/>
  <c r="AU194" i="21"/>
  <c r="BZ194" i="21"/>
  <c r="BL194" i="21"/>
  <c r="CA194" i="21" s="1"/>
  <c r="BS194" i="21"/>
  <c r="BT194" i="21" s="1"/>
  <c r="BP195" i="21" s="1"/>
  <c r="T230" i="19"/>
  <c r="M231" i="19"/>
  <c r="N231" i="19" s="1"/>
  <c r="AY224" i="21" l="1"/>
  <c r="AW224" i="21"/>
  <c r="AX224" i="21"/>
  <c r="AZ224" i="21" s="1"/>
  <c r="AV225" i="21" s="1"/>
  <c r="BW254" i="21"/>
  <c r="BX254" i="21"/>
  <c r="BE199" i="21"/>
  <c r="BA200" i="21" s="1"/>
  <c r="BD200" i="21" s="1"/>
  <c r="BG217" i="21"/>
  <c r="BI217" i="21"/>
  <c r="BJ217" i="21" s="1"/>
  <c r="BF218" i="21" s="1"/>
  <c r="BH217" i="21"/>
  <c r="M191" i="21"/>
  <c r="K191" i="21"/>
  <c r="AM201" i="21"/>
  <c r="AN201" i="21" s="1"/>
  <c r="BQ195" i="21"/>
  <c r="BR195" i="21" s="1"/>
  <c r="Z212" i="21"/>
  <c r="AA212" i="21" s="1"/>
  <c r="W213" i="21" s="1"/>
  <c r="BM194" i="21"/>
  <c r="U212" i="21"/>
  <c r="V212" i="21" s="1"/>
  <c r="R213" i="21" s="1"/>
  <c r="Y230" i="19"/>
  <c r="O231" i="19"/>
  <c r="J232" i="19" s="1"/>
  <c r="U230" i="19"/>
  <c r="BY254" i="21" l="1"/>
  <c r="BU255" i="21" s="1"/>
  <c r="BV255" i="21"/>
  <c r="BW255" i="21"/>
  <c r="AX225" i="21"/>
  <c r="AW225" i="21"/>
  <c r="AY225" i="21"/>
  <c r="AZ225" i="21" s="1"/>
  <c r="AV226" i="21" s="1"/>
  <c r="BC200" i="21"/>
  <c r="BE200" i="21" s="1"/>
  <c r="BA201" i="21" s="1"/>
  <c r="BD201" i="21" s="1"/>
  <c r="BB200" i="21"/>
  <c r="BH218" i="21"/>
  <c r="BG218" i="21"/>
  <c r="BI218" i="21"/>
  <c r="BJ218" i="21" s="1"/>
  <c r="BF219" i="21" s="1"/>
  <c r="BX255" i="21"/>
  <c r="BY255" i="21" s="1"/>
  <c r="BU256" i="21" s="1"/>
  <c r="BW256" i="21" s="1"/>
  <c r="N191" i="21"/>
  <c r="AR191" i="21" s="1"/>
  <c r="AJ191" i="21"/>
  <c r="AK191" i="21" s="1"/>
  <c r="AG192" i="21" s="1"/>
  <c r="AE191" i="21"/>
  <c r="AF191" i="21" s="1"/>
  <c r="AB192" i="21" s="1"/>
  <c r="L191" i="21"/>
  <c r="AQ191" i="21"/>
  <c r="S213" i="21"/>
  <c r="T213" i="21"/>
  <c r="Y213" i="21"/>
  <c r="X213" i="21"/>
  <c r="BN194" i="21"/>
  <c r="BO194" i="21" s="1"/>
  <c r="V230" i="19"/>
  <c r="X230" i="19" s="1"/>
  <c r="S231" i="19" s="1"/>
  <c r="K232" i="19"/>
  <c r="L232" i="19" s="1"/>
  <c r="W230" i="19"/>
  <c r="AW226" i="21" l="1"/>
  <c r="AY226" i="21"/>
  <c r="AX226" i="21"/>
  <c r="BH219" i="21"/>
  <c r="BI219" i="21"/>
  <c r="BG219" i="21"/>
  <c r="BC201" i="21"/>
  <c r="BE201" i="21"/>
  <c r="BA202" i="21" s="1"/>
  <c r="BD202" i="21" s="1"/>
  <c r="BB201" i="21"/>
  <c r="AH192" i="21"/>
  <c r="AI192" i="21"/>
  <c r="O191" i="21"/>
  <c r="BX256" i="21"/>
  <c r="BY256" i="21" s="1"/>
  <c r="BU257" i="21" s="1"/>
  <c r="BV256" i="21"/>
  <c r="AC192" i="21"/>
  <c r="AD192" i="21" s="1"/>
  <c r="AO201" i="21"/>
  <c r="AP201" i="21" s="1"/>
  <c r="AL202" i="21" s="1"/>
  <c r="BK195" i="21"/>
  <c r="AT195" i="21"/>
  <c r="M232" i="19"/>
  <c r="O232" i="19" s="1"/>
  <c r="J233" i="19" s="1"/>
  <c r="T231" i="19"/>
  <c r="N232" i="19"/>
  <c r="P232" i="19"/>
  <c r="AZ226" i="21" l="1"/>
  <c r="AV227" i="21" s="1"/>
  <c r="BB202" i="21"/>
  <c r="BC202" i="21"/>
  <c r="BE202" i="21" s="1"/>
  <c r="BA203" i="21" s="1"/>
  <c r="BC203" i="21" s="1"/>
  <c r="BJ219" i="21"/>
  <c r="BF220" i="21" s="1"/>
  <c r="P191" i="21"/>
  <c r="Q191" i="21" s="1"/>
  <c r="BD203" i="21"/>
  <c r="BB203" i="21"/>
  <c r="BX257" i="21"/>
  <c r="BY257" i="21" s="1"/>
  <c r="BU258" i="21" s="1"/>
  <c r="BV257" i="21"/>
  <c r="BW257" i="21"/>
  <c r="AM202" i="21"/>
  <c r="AN202" i="21" s="1"/>
  <c r="U213" i="21"/>
  <c r="V213" i="21" s="1"/>
  <c r="R214" i="21" s="1"/>
  <c r="Z213" i="21"/>
  <c r="AA213" i="21" s="1"/>
  <c r="W214" i="21" s="1"/>
  <c r="AU195" i="21"/>
  <c r="BZ195" i="21"/>
  <c r="BL195" i="21"/>
  <c r="CA195" i="21" s="1"/>
  <c r="BS195" i="21"/>
  <c r="BT195" i="21" s="1"/>
  <c r="BP196" i="21" s="1"/>
  <c r="Y231" i="19"/>
  <c r="K233" i="19"/>
  <c r="U231" i="19"/>
  <c r="AW227" i="21" l="1"/>
  <c r="AX227" i="21"/>
  <c r="AY227" i="21"/>
  <c r="AZ227" i="21"/>
  <c r="AV228" i="21" s="1"/>
  <c r="BG220" i="21"/>
  <c r="BI220" i="21"/>
  <c r="BH220" i="21"/>
  <c r="BJ220" i="21" s="1"/>
  <c r="BF221" i="21" s="1"/>
  <c r="BE203" i="21"/>
  <c r="BA204" i="21" s="1"/>
  <c r="BB204" i="21" s="1"/>
  <c r="M192" i="21"/>
  <c r="K192" i="21"/>
  <c r="BW258" i="21"/>
  <c r="BX258" i="21"/>
  <c r="BY258" i="21" s="1"/>
  <c r="BU259" i="21" s="1"/>
  <c r="BV258" i="21"/>
  <c r="BM195" i="21"/>
  <c r="BN195" i="21" s="1"/>
  <c r="BO195" i="21" s="1"/>
  <c r="X214" i="21"/>
  <c r="Y214" i="21" s="1"/>
  <c r="S214" i="21"/>
  <c r="T214" i="21" s="1"/>
  <c r="BQ196" i="21"/>
  <c r="BR196" i="21" s="1"/>
  <c r="L233" i="19"/>
  <c r="V231" i="19"/>
  <c r="X231" i="19" s="1"/>
  <c r="S232" i="19" s="1"/>
  <c r="P233" i="19"/>
  <c r="AX228" i="21" l="1"/>
  <c r="AW228" i="21"/>
  <c r="AY228" i="21"/>
  <c r="AZ228" i="21" s="1"/>
  <c r="AV229" i="21" s="1"/>
  <c r="BD204" i="21"/>
  <c r="BG221" i="21"/>
  <c r="BI221" i="21"/>
  <c r="BH221" i="21"/>
  <c r="BJ221" i="21" s="1"/>
  <c r="BF222" i="21" s="1"/>
  <c r="BC204" i="21"/>
  <c r="AQ192" i="21"/>
  <c r="L192" i="21"/>
  <c r="N192" i="21"/>
  <c r="AR192" i="21" s="1"/>
  <c r="AJ192" i="21"/>
  <c r="AK192" i="21" s="1"/>
  <c r="AG193" i="21" s="1"/>
  <c r="AE192" i="21"/>
  <c r="AF192" i="21" s="1"/>
  <c r="AB193" i="21" s="1"/>
  <c r="BV259" i="21"/>
  <c r="BW259" i="21"/>
  <c r="BY259" i="21" s="1"/>
  <c r="BU260" i="21" s="1"/>
  <c r="BX259" i="21"/>
  <c r="AO202" i="21"/>
  <c r="AP202" i="21" s="1"/>
  <c r="AL203" i="21" s="1"/>
  <c r="U214" i="21"/>
  <c r="V214" i="21" s="1"/>
  <c r="R215" i="21" s="1"/>
  <c r="S215" i="21" s="1"/>
  <c r="T215" i="21" s="1"/>
  <c r="AT196" i="21"/>
  <c r="BK196" i="21"/>
  <c r="Z214" i="21"/>
  <c r="AA214" i="21" s="1"/>
  <c r="W215" i="21" s="1"/>
  <c r="W231" i="19"/>
  <c r="T232" i="19"/>
  <c r="M233" i="19"/>
  <c r="O233" i="19" s="1"/>
  <c r="J234" i="19" s="1"/>
  <c r="AY229" i="21" l="1"/>
  <c r="AX229" i="21"/>
  <c r="AZ229" i="21" s="1"/>
  <c r="AV230" i="21" s="1"/>
  <c r="AW229" i="21"/>
  <c r="BE204" i="21"/>
  <c r="BA205" i="21" s="1"/>
  <c r="BB205" i="21" s="1"/>
  <c r="BG222" i="21"/>
  <c r="BI222" i="21"/>
  <c r="BH222" i="21"/>
  <c r="BJ222" i="21" s="1"/>
  <c r="BF223" i="21" s="1"/>
  <c r="BD205" i="21"/>
  <c r="O192" i="21"/>
  <c r="AC193" i="21"/>
  <c r="AD193" i="21" s="1"/>
  <c r="AH193" i="21"/>
  <c r="AI193" i="21" s="1"/>
  <c r="BV260" i="21"/>
  <c r="BX260" i="21"/>
  <c r="BW260" i="21"/>
  <c r="AM203" i="21"/>
  <c r="AN203" i="21" s="1"/>
  <c r="X215" i="21"/>
  <c r="Y215" i="21"/>
  <c r="BL196" i="21"/>
  <c r="CA196" i="21" s="1"/>
  <c r="AU196" i="21"/>
  <c r="BZ196" i="21"/>
  <c r="BS196" i="21" s="1"/>
  <c r="BT196" i="21" s="1"/>
  <c r="BP197" i="21" s="1"/>
  <c r="K234" i="19"/>
  <c r="N233" i="19"/>
  <c r="Y232" i="19"/>
  <c r="U232" i="19"/>
  <c r="AY230" i="21" l="1"/>
  <c r="AX230" i="21"/>
  <c r="AZ230" i="21"/>
  <c r="AV231" i="21" s="1"/>
  <c r="AW230" i="21"/>
  <c r="BC205" i="21"/>
  <c r="BE205" i="21" s="1"/>
  <c r="BA206" i="21" s="1"/>
  <c r="BC206" i="21" s="1"/>
  <c r="BG223" i="21"/>
  <c r="BH223" i="21"/>
  <c r="BI223" i="21"/>
  <c r="BY260" i="21"/>
  <c r="BU261" i="21" s="1"/>
  <c r="BX261" i="21" s="1"/>
  <c r="P192" i="21"/>
  <c r="Q192" i="21" s="1"/>
  <c r="BV261" i="21"/>
  <c r="BW261" i="21"/>
  <c r="U215" i="21"/>
  <c r="V215" i="21" s="1"/>
  <c r="R216" i="21" s="1"/>
  <c r="Z215" i="21"/>
  <c r="AA215" i="21" s="1"/>
  <c r="W216" i="21" s="1"/>
  <c r="BQ197" i="21"/>
  <c r="BR197" i="21" s="1"/>
  <c r="BM196" i="21"/>
  <c r="P234" i="19"/>
  <c r="V232" i="19"/>
  <c r="W232" i="19" s="1"/>
  <c r="L234" i="19"/>
  <c r="AW231" i="21" l="1"/>
  <c r="AY231" i="21"/>
  <c r="AX231" i="21"/>
  <c r="AZ231" i="21"/>
  <c r="AV232" i="21" s="1"/>
  <c r="BD206" i="21"/>
  <c r="BE206" i="21" s="1"/>
  <c r="BA207" i="21" s="1"/>
  <c r="BB206" i="21"/>
  <c r="BJ223" i="21"/>
  <c r="BF224" i="21" s="1"/>
  <c r="BG224" i="21" s="1"/>
  <c r="BY261" i="21"/>
  <c r="BU262" i="21" s="1"/>
  <c r="BV262" i="21" s="1"/>
  <c r="M193" i="21"/>
  <c r="K193" i="21"/>
  <c r="AO203" i="21"/>
  <c r="AP203" i="21" s="1"/>
  <c r="AL204" i="21" s="1"/>
  <c r="X216" i="21"/>
  <c r="Y216" i="21"/>
  <c r="S216" i="21"/>
  <c r="T216" i="21" s="1"/>
  <c r="BN196" i="21"/>
  <c r="BO196" i="21" s="1"/>
  <c r="M234" i="19"/>
  <c r="O234" i="19" s="1"/>
  <c r="J235" i="19" s="1"/>
  <c r="X232" i="19"/>
  <c r="S233" i="19" s="1"/>
  <c r="BB207" i="21" l="1"/>
  <c r="BC207" i="21"/>
  <c r="BD207" i="21"/>
  <c r="BE207" i="21" s="1"/>
  <c r="BA208" i="21" s="1"/>
  <c r="BI224" i="21"/>
  <c r="AY232" i="21"/>
  <c r="AX232" i="21"/>
  <c r="AZ232" i="21" s="1"/>
  <c r="AV233" i="21" s="1"/>
  <c r="AW232" i="21"/>
  <c r="BH224" i="21"/>
  <c r="BX262" i="21"/>
  <c r="BW262" i="21"/>
  <c r="BY262" i="21" s="1"/>
  <c r="BU263" i="21" s="1"/>
  <c r="BW263" i="21" s="1"/>
  <c r="L193" i="21"/>
  <c r="AQ193" i="21"/>
  <c r="AJ193" i="21" s="1"/>
  <c r="AK193" i="21" s="1"/>
  <c r="AG194" i="21" s="1"/>
  <c r="N193" i="21"/>
  <c r="AR193" i="21" s="1"/>
  <c r="AM204" i="21"/>
  <c r="AN204" i="21" s="1"/>
  <c r="BK197" i="21"/>
  <c r="AT197" i="21"/>
  <c r="Z216" i="21"/>
  <c r="AA216" i="21" s="1"/>
  <c r="W217" i="21" s="1"/>
  <c r="U216" i="21"/>
  <c r="V216" i="21" s="1"/>
  <c r="R217" i="21" s="1"/>
  <c r="N234" i="19"/>
  <c r="T233" i="19"/>
  <c r="K235" i="19"/>
  <c r="O193" i="21" l="1"/>
  <c r="AE193" i="21"/>
  <c r="AF193" i="21" s="1"/>
  <c r="AB194" i="21" s="1"/>
  <c r="AC194" i="21" s="1"/>
  <c r="AD194" i="21" s="1"/>
  <c r="AY233" i="21"/>
  <c r="AW233" i="21"/>
  <c r="AX233" i="21"/>
  <c r="AZ233" i="21"/>
  <c r="AV234" i="21" s="1"/>
  <c r="BD208" i="21"/>
  <c r="BB208" i="21"/>
  <c r="BC208" i="21"/>
  <c r="BE208" i="21" s="1"/>
  <c r="BA209" i="21" s="1"/>
  <c r="BB209" i="21" s="1"/>
  <c r="BJ224" i="21"/>
  <c r="BF225" i="21" s="1"/>
  <c r="BX263" i="21"/>
  <c r="BY263" i="21" s="1"/>
  <c r="BU264" i="21" s="1"/>
  <c r="BV263" i="21"/>
  <c r="AH194" i="21"/>
  <c r="AI194" i="21"/>
  <c r="S217" i="21"/>
  <c r="T217" i="21" s="1"/>
  <c r="BZ197" i="21"/>
  <c r="AU197" i="21"/>
  <c r="X217" i="21"/>
  <c r="Y217" i="21"/>
  <c r="BL197" i="21"/>
  <c r="CA197" i="21" s="1"/>
  <c r="BS197" i="21"/>
  <c r="BT197" i="21" s="1"/>
  <c r="BP198" i="21" s="1"/>
  <c r="P235" i="19"/>
  <c r="Y233" i="19"/>
  <c r="L235" i="19"/>
  <c r="U233" i="19"/>
  <c r="P193" i="21" l="1"/>
  <c r="Q193" i="21" s="1"/>
  <c r="BH225" i="21"/>
  <c r="BI225" i="21"/>
  <c r="BG225" i="21"/>
  <c r="AX234" i="21"/>
  <c r="AY234" i="21"/>
  <c r="AW234" i="21"/>
  <c r="AZ234" i="21"/>
  <c r="AV235" i="21" s="1"/>
  <c r="AY235" i="21" s="1"/>
  <c r="BV264" i="21"/>
  <c r="BW264" i="21"/>
  <c r="BX264" i="21"/>
  <c r="BY264" i="21" s="1"/>
  <c r="BU265" i="21" s="1"/>
  <c r="BC209" i="21"/>
  <c r="BD209" i="21"/>
  <c r="AO204" i="21"/>
  <c r="AP204" i="21" s="1"/>
  <c r="AL205" i="21" s="1"/>
  <c r="Z217" i="21"/>
  <c r="AA217" i="21" s="1"/>
  <c r="W218" i="21" s="1"/>
  <c r="U217" i="21"/>
  <c r="V217" i="21" s="1"/>
  <c r="R218" i="21" s="1"/>
  <c r="BQ198" i="21"/>
  <c r="BR198" i="21" s="1"/>
  <c r="BM197" i="21"/>
  <c r="V233" i="19"/>
  <c r="X233" i="19" s="1"/>
  <c r="S234" i="19" s="1"/>
  <c r="M235" i="19"/>
  <c r="O235" i="19" s="1"/>
  <c r="J236" i="19" s="1"/>
  <c r="W233" i="19"/>
  <c r="M194" i="21" l="1"/>
  <c r="K194" i="21"/>
  <c r="BE209" i="21"/>
  <c r="BA210" i="21" s="1"/>
  <c r="BB210" i="21" s="1"/>
  <c r="AX235" i="21"/>
  <c r="AW235" i="21"/>
  <c r="BJ225" i="21"/>
  <c r="BF226" i="21" s="1"/>
  <c r="BV265" i="21"/>
  <c r="BX265" i="21"/>
  <c r="BW265" i="21"/>
  <c r="BY265" i="21" s="1"/>
  <c r="BU266" i="21" s="1"/>
  <c r="BX266" i="21" s="1"/>
  <c r="BC210" i="21"/>
  <c r="BE210" i="21" s="1"/>
  <c r="BA211" i="21" s="1"/>
  <c r="BD210" i="21"/>
  <c r="AM205" i="21"/>
  <c r="AN205" i="21"/>
  <c r="S218" i="21"/>
  <c r="T218" i="21" s="1"/>
  <c r="BN197" i="21"/>
  <c r="BO197" i="21" s="1"/>
  <c r="X218" i="21"/>
  <c r="Z218" i="21"/>
  <c r="Y218" i="21"/>
  <c r="AZ235" i="21"/>
  <c r="N235" i="19"/>
  <c r="K236" i="19"/>
  <c r="T234" i="19"/>
  <c r="AQ194" i="21" l="1"/>
  <c r="AJ194" i="21" s="1"/>
  <c r="AK194" i="21" s="1"/>
  <c r="AG195" i="21" s="1"/>
  <c r="AH195" i="21" s="1"/>
  <c r="AI195" i="21" s="1"/>
  <c r="L194" i="21"/>
  <c r="AE194" i="21"/>
  <c r="AF194" i="21" s="1"/>
  <c r="AB195" i="21" s="1"/>
  <c r="AC195" i="21" s="1"/>
  <c r="AD195" i="21" s="1"/>
  <c r="N194" i="21"/>
  <c r="AR194" i="21" s="1"/>
  <c r="BG226" i="21"/>
  <c r="BI226" i="21"/>
  <c r="BH226" i="21"/>
  <c r="BJ226" i="21"/>
  <c r="BF227" i="21" s="1"/>
  <c r="BW266" i="21"/>
  <c r="BY266" i="21" s="1"/>
  <c r="BU267" i="21" s="1"/>
  <c r="BV267" i="21" s="1"/>
  <c r="BV266" i="21"/>
  <c r="BB211" i="21"/>
  <c r="BD211" i="21"/>
  <c r="BC211" i="21"/>
  <c r="BE211" i="21" s="1"/>
  <c r="BA212" i="21" s="1"/>
  <c r="BK198" i="21"/>
  <c r="AT198" i="21"/>
  <c r="AA218" i="21"/>
  <c r="W219" i="21" s="1"/>
  <c r="AV236" i="21"/>
  <c r="P236" i="19"/>
  <c r="Y234" i="19"/>
  <c r="U234" i="19"/>
  <c r="L236" i="19"/>
  <c r="O194" i="21" l="1"/>
  <c r="BX267" i="21"/>
  <c r="BW267" i="21"/>
  <c r="BI227" i="21"/>
  <c r="BG227" i="21"/>
  <c r="BH227" i="21"/>
  <c r="BJ227" i="21"/>
  <c r="BF228" i="21" s="1"/>
  <c r="BC212" i="21"/>
  <c r="BD212" i="21"/>
  <c r="BB212" i="21"/>
  <c r="AO205" i="21"/>
  <c r="AP205" i="21" s="1"/>
  <c r="AL206" i="21" s="1"/>
  <c r="Y219" i="21"/>
  <c r="X219" i="21"/>
  <c r="AU198" i="21"/>
  <c r="BZ198" i="21"/>
  <c r="BL198" i="21"/>
  <c r="CA198" i="21" s="1"/>
  <c r="BS198" i="21"/>
  <c r="BT198" i="21" s="1"/>
  <c r="BP199" i="21" s="1"/>
  <c r="AY236" i="21"/>
  <c r="AX236" i="21"/>
  <c r="AZ236" i="21" s="1"/>
  <c r="AW236" i="21"/>
  <c r="M236" i="19"/>
  <c r="O236" i="19" s="1"/>
  <c r="J237" i="19" s="1"/>
  <c r="V234" i="19"/>
  <c r="X234" i="19" s="1"/>
  <c r="S235" i="19" s="1"/>
  <c r="P194" i="21" l="1"/>
  <c r="Q194" i="21" s="1"/>
  <c r="BY267" i="21"/>
  <c r="BU268" i="21" s="1"/>
  <c r="BI228" i="21"/>
  <c r="BH228" i="21"/>
  <c r="BG228" i="21"/>
  <c r="BE212" i="21"/>
  <c r="BA213" i="21" s="1"/>
  <c r="AM206" i="21"/>
  <c r="AN206" i="21" s="1"/>
  <c r="N236" i="19"/>
  <c r="BM198" i="21"/>
  <c r="BN198" i="21" s="1"/>
  <c r="BO198" i="21" s="1"/>
  <c r="Z219" i="21"/>
  <c r="AA219" i="21" s="1"/>
  <c r="W220" i="21" s="1"/>
  <c r="BQ199" i="21"/>
  <c r="BR199" i="21" s="1"/>
  <c r="AV237" i="21"/>
  <c r="T235" i="19"/>
  <c r="W234" i="19"/>
  <c r="K237" i="19"/>
  <c r="L237" i="19" s="1"/>
  <c r="M237" i="19" s="1"/>
  <c r="M195" i="21" l="1"/>
  <c r="K195" i="21"/>
  <c r="BV268" i="21"/>
  <c r="BX268" i="21"/>
  <c r="BW268" i="21"/>
  <c r="BY268" i="21" s="1"/>
  <c r="BU269" i="21" s="1"/>
  <c r="BX269" i="21" s="1"/>
  <c r="BJ228" i="21"/>
  <c r="BF229" i="21" s="1"/>
  <c r="BW269" i="21"/>
  <c r="BY269" i="21" s="1"/>
  <c r="BU270" i="21" s="1"/>
  <c r="BV269" i="21"/>
  <c r="BB213" i="21"/>
  <c r="BC213" i="21"/>
  <c r="BD213" i="21"/>
  <c r="Z220" i="21"/>
  <c r="X220" i="21"/>
  <c r="Y220" i="21" s="1"/>
  <c r="AT199" i="21"/>
  <c r="BK199" i="21"/>
  <c r="AY237" i="21"/>
  <c r="AX237" i="21"/>
  <c r="AZ237" i="21" s="1"/>
  <c r="AW237" i="21"/>
  <c r="O237" i="19"/>
  <c r="J238" i="19" s="1"/>
  <c r="Y235" i="19"/>
  <c r="N237" i="19"/>
  <c r="P237" i="19"/>
  <c r="U235" i="19"/>
  <c r="AQ195" i="21" l="1"/>
  <c r="AJ195" i="21" s="1"/>
  <c r="AK195" i="21" s="1"/>
  <c r="AG196" i="21" s="1"/>
  <c r="AH196" i="21" s="1"/>
  <c r="AI196" i="21" s="1"/>
  <c r="L195" i="21"/>
  <c r="N195" i="21"/>
  <c r="AR195" i="21" s="1"/>
  <c r="O195" i="21"/>
  <c r="P195" i="21" s="1"/>
  <c r="Q195" i="21" s="1"/>
  <c r="AE195" i="21"/>
  <c r="AF195" i="21" s="1"/>
  <c r="AB196" i="21" s="1"/>
  <c r="BG229" i="21"/>
  <c r="BI229" i="21"/>
  <c r="BH229" i="21"/>
  <c r="BJ229" i="21" s="1"/>
  <c r="BF230" i="21" s="1"/>
  <c r="BV270" i="21"/>
  <c r="BX270" i="21"/>
  <c r="BW270" i="21"/>
  <c r="BY270" i="21" s="1"/>
  <c r="BU271" i="21" s="1"/>
  <c r="BE213" i="21"/>
  <c r="BA214" i="21" s="1"/>
  <c r="AO206" i="21"/>
  <c r="AP206" i="21" s="1"/>
  <c r="AL207" i="21" s="1"/>
  <c r="AA220" i="21"/>
  <c r="W221" i="21" s="1"/>
  <c r="X221" i="21" s="1"/>
  <c r="Y221" i="21" s="1"/>
  <c r="BL199" i="21"/>
  <c r="CA199" i="21" s="1"/>
  <c r="AU199" i="21"/>
  <c r="BZ199" i="21"/>
  <c r="BS199" i="21" s="1"/>
  <c r="BT199" i="21" s="1"/>
  <c r="BP200" i="21" s="1"/>
  <c r="AV238" i="21"/>
  <c r="V235" i="19"/>
  <c r="X235" i="19" s="1"/>
  <c r="S236" i="19" s="1"/>
  <c r="K238" i="19"/>
  <c r="P238" i="19" s="1"/>
  <c r="M196" i="21" l="1"/>
  <c r="K196" i="21"/>
  <c r="AC196" i="21"/>
  <c r="AD196" i="21" s="1"/>
  <c r="BH230" i="21"/>
  <c r="BI230" i="21"/>
  <c r="BJ230" i="21"/>
  <c r="BF231" i="21" s="1"/>
  <c r="BG230" i="21"/>
  <c r="BV271" i="21"/>
  <c r="BX271" i="21"/>
  <c r="BW271" i="21"/>
  <c r="BB214" i="21"/>
  <c r="BC214" i="21"/>
  <c r="BD214" i="21"/>
  <c r="BE214" i="21"/>
  <c r="BA215" i="21" s="1"/>
  <c r="AM207" i="21"/>
  <c r="AN207" i="21" s="1"/>
  <c r="BM199" i="21"/>
  <c r="BQ200" i="21"/>
  <c r="BR200" i="21" s="1"/>
  <c r="AX238" i="21"/>
  <c r="AY238" i="21"/>
  <c r="AW238" i="21"/>
  <c r="W235" i="19"/>
  <c r="L238" i="19"/>
  <c r="M238" i="19" s="1"/>
  <c r="N238" i="19" s="1"/>
  <c r="T236" i="19"/>
  <c r="U236" i="19" s="1"/>
  <c r="L196" i="21" l="1"/>
  <c r="AQ196" i="21"/>
  <c r="AJ196" i="21" s="1"/>
  <c r="AK196" i="21" s="1"/>
  <c r="AG197" i="21" s="1"/>
  <c r="AH197" i="21" s="1"/>
  <c r="AI197" i="21" s="1"/>
  <c r="N196" i="21"/>
  <c r="AR196" i="21" s="1"/>
  <c r="BI231" i="21"/>
  <c r="BH231" i="21"/>
  <c r="BG231" i="21"/>
  <c r="BJ231" i="21"/>
  <c r="BF232" i="21" s="1"/>
  <c r="BY271" i="21"/>
  <c r="BU272" i="21" s="1"/>
  <c r="BD215" i="21"/>
  <c r="BB215" i="21"/>
  <c r="BC215" i="21"/>
  <c r="U218" i="21"/>
  <c r="V218" i="21" s="1"/>
  <c r="R219" i="21" s="1"/>
  <c r="BN199" i="21"/>
  <c r="BO199" i="21" s="1"/>
  <c r="AZ238" i="21"/>
  <c r="O238" i="19"/>
  <c r="J239" i="19" s="1"/>
  <c r="K239" i="19" s="1"/>
  <c r="V236" i="19"/>
  <c r="X236" i="19" s="1"/>
  <c r="S237" i="19" s="1"/>
  <c r="Y236" i="19"/>
  <c r="O196" i="21" l="1"/>
  <c r="P196" i="21"/>
  <c r="Q196" i="21" s="1"/>
  <c r="AE196" i="21"/>
  <c r="AF196" i="21" s="1"/>
  <c r="AB197" i="21" s="1"/>
  <c r="BG232" i="21"/>
  <c r="BH232" i="21"/>
  <c r="BI232" i="21"/>
  <c r="BJ232" i="21" s="1"/>
  <c r="BF233" i="21" s="1"/>
  <c r="BE215" i="21"/>
  <c r="BA216" i="21" s="1"/>
  <c r="BD216" i="21" s="1"/>
  <c r="BV272" i="21"/>
  <c r="BW272" i="21"/>
  <c r="BX272" i="21"/>
  <c r="S219" i="21"/>
  <c r="T219" i="21" s="1"/>
  <c r="U219" i="21"/>
  <c r="AO207" i="21"/>
  <c r="AP207" i="21" s="1"/>
  <c r="AL208" i="21" s="1"/>
  <c r="AT200" i="21"/>
  <c r="BK200" i="21"/>
  <c r="Z221" i="21"/>
  <c r="AA221" i="21" s="1"/>
  <c r="W222" i="21" s="1"/>
  <c r="AV239" i="21"/>
  <c r="W236" i="19"/>
  <c r="P239" i="19"/>
  <c r="L239" i="19"/>
  <c r="T237" i="19"/>
  <c r="M197" i="21" l="1"/>
  <c r="K197" i="21"/>
  <c r="AC197" i="21"/>
  <c r="AD197" i="21" s="1"/>
  <c r="BC216" i="21"/>
  <c r="BE216" i="21"/>
  <c r="BA217" i="21" s="1"/>
  <c r="BB216" i="21"/>
  <c r="BG233" i="21"/>
  <c r="BI233" i="21"/>
  <c r="BH233" i="21"/>
  <c r="BY272" i="21"/>
  <c r="BU273" i="21" s="1"/>
  <c r="BC217" i="21"/>
  <c r="BB217" i="21"/>
  <c r="BD217" i="21"/>
  <c r="V219" i="21"/>
  <c r="R220" i="21" s="1"/>
  <c r="AM208" i="21"/>
  <c r="AN208" i="21"/>
  <c r="BS200" i="21"/>
  <c r="BT200" i="21" s="1"/>
  <c r="BP201" i="21" s="1"/>
  <c r="BQ201" i="21" s="1"/>
  <c r="BR201" i="21" s="1"/>
  <c r="BL200" i="21"/>
  <c r="CA200" i="21" s="1"/>
  <c r="AU200" i="21"/>
  <c r="BZ200" i="21"/>
  <c r="Z222" i="21"/>
  <c r="X222" i="21"/>
  <c r="Y222" i="21" s="1"/>
  <c r="AW239" i="21"/>
  <c r="AX239" i="21"/>
  <c r="AY239" i="21"/>
  <c r="U237" i="19"/>
  <c r="M239" i="19"/>
  <c r="O239" i="19" s="1"/>
  <c r="J240" i="19" s="1"/>
  <c r="Y237" i="19"/>
  <c r="AQ197" i="21" l="1"/>
  <c r="AJ197" i="21" s="1"/>
  <c r="AK197" i="21" s="1"/>
  <c r="AG198" i="21" s="1"/>
  <c r="AH198" i="21" s="1"/>
  <c r="AI198" i="21" s="1"/>
  <c r="L197" i="21"/>
  <c r="N197" i="21"/>
  <c r="AR197" i="21" s="1"/>
  <c r="BE217" i="21"/>
  <c r="BA218" i="21" s="1"/>
  <c r="BJ233" i="21"/>
  <c r="BF234" i="21" s="1"/>
  <c r="BV273" i="21"/>
  <c r="BW273" i="21"/>
  <c r="BX273" i="21"/>
  <c r="BY273" i="21" s="1"/>
  <c r="BU274" i="21" s="1"/>
  <c r="BD218" i="21"/>
  <c r="BC218" i="21"/>
  <c r="BB218" i="21"/>
  <c r="U220" i="21"/>
  <c r="S220" i="21"/>
  <c r="T220" i="21" s="1"/>
  <c r="AA222" i="21"/>
  <c r="W223" i="21" s="1"/>
  <c r="X223" i="21" s="1"/>
  <c r="BM200" i="21"/>
  <c r="BN200" i="21" s="1"/>
  <c r="BO200" i="21" s="1"/>
  <c r="AZ239" i="21"/>
  <c r="N239" i="19"/>
  <c r="K240" i="19"/>
  <c r="V237" i="19"/>
  <c r="X237" i="19" s="1"/>
  <c r="S238" i="19" s="1"/>
  <c r="O197" i="21" l="1"/>
  <c r="P197" i="21" s="1"/>
  <c r="Q197" i="21" s="1"/>
  <c r="AE197" i="21"/>
  <c r="AF197" i="21" s="1"/>
  <c r="AB198" i="21" s="1"/>
  <c r="V220" i="21"/>
  <c r="R221" i="21" s="1"/>
  <c r="BE218" i="21"/>
  <c r="BA219" i="21" s="1"/>
  <c r="BI234" i="21"/>
  <c r="BG234" i="21"/>
  <c r="BH234" i="21"/>
  <c r="BJ234" i="21"/>
  <c r="BF235" i="21" s="1"/>
  <c r="BX274" i="21"/>
  <c r="BV274" i="21"/>
  <c r="BW274" i="21"/>
  <c r="BY274" i="21" s="1"/>
  <c r="BU275" i="21" s="1"/>
  <c r="BV275" i="21" s="1"/>
  <c r="BC219" i="21"/>
  <c r="BB219" i="21"/>
  <c r="BD219" i="21"/>
  <c r="S221" i="21"/>
  <c r="T221" i="21" s="1"/>
  <c r="U221" i="21"/>
  <c r="AO208" i="21"/>
  <c r="AP208" i="21" s="1"/>
  <c r="AL209" i="21" s="1"/>
  <c r="Y223" i="21"/>
  <c r="BK201" i="21"/>
  <c r="AT201" i="21"/>
  <c r="AV240" i="21"/>
  <c r="T238" i="19"/>
  <c r="W237" i="19"/>
  <c r="P240" i="19"/>
  <c r="L240" i="19"/>
  <c r="AC198" i="21" l="1"/>
  <c r="AD198" i="21" s="1"/>
  <c r="M198" i="21"/>
  <c r="K198" i="21"/>
  <c r="BI235" i="21"/>
  <c r="BG235" i="21"/>
  <c r="BH235" i="21"/>
  <c r="BJ235" i="21" s="1"/>
  <c r="BF236" i="21" s="1"/>
  <c r="BE219" i="21"/>
  <c r="BA220" i="21" s="1"/>
  <c r="BC220" i="21" s="1"/>
  <c r="BW275" i="21"/>
  <c r="BX275" i="21"/>
  <c r="V221" i="21"/>
  <c r="R222" i="21" s="1"/>
  <c r="S222" i="21" s="1"/>
  <c r="T222" i="21" s="1"/>
  <c r="AM209" i="21"/>
  <c r="AN209" i="21" s="1"/>
  <c r="BZ201" i="21"/>
  <c r="AU201" i="21"/>
  <c r="BL201" i="21"/>
  <c r="CA201" i="21" s="1"/>
  <c r="BS201" i="21"/>
  <c r="BT201" i="21" s="1"/>
  <c r="BP202" i="21" s="1"/>
  <c r="BQ202" i="21" s="1"/>
  <c r="BR202" i="21" s="1"/>
  <c r="Z223" i="21"/>
  <c r="AA223" i="21" s="1"/>
  <c r="W224" i="21" s="1"/>
  <c r="AY240" i="21"/>
  <c r="AW240" i="21"/>
  <c r="AX240" i="21"/>
  <c r="M240" i="19"/>
  <c r="O240" i="19" s="1"/>
  <c r="J241" i="19" s="1"/>
  <c r="Y238" i="19"/>
  <c r="U238" i="19"/>
  <c r="L198" i="21" l="1"/>
  <c r="AQ198" i="21"/>
  <c r="AJ198" i="21" s="1"/>
  <c r="AK198" i="21" s="1"/>
  <c r="AG199" i="21" s="1"/>
  <c r="AH199" i="21" s="1"/>
  <c r="AI199" i="21" s="1"/>
  <c r="N198" i="21"/>
  <c r="AR198" i="21" s="1"/>
  <c r="AE198" i="21"/>
  <c r="AF198" i="21" s="1"/>
  <c r="AB199" i="21" s="1"/>
  <c r="BG236" i="21"/>
  <c r="BH236" i="21"/>
  <c r="BI236" i="21"/>
  <c r="BB220" i="21"/>
  <c r="BD220" i="21"/>
  <c r="BE220" i="21" s="1"/>
  <c r="BA221" i="21" s="1"/>
  <c r="BY275" i="21"/>
  <c r="BU276" i="21" s="1"/>
  <c r="U222" i="21"/>
  <c r="V222" i="21" s="1"/>
  <c r="R223" i="21" s="1"/>
  <c r="S223" i="21" s="1"/>
  <c r="T223" i="21" s="1"/>
  <c r="BM201" i="21"/>
  <c r="BN201" i="21" s="1"/>
  <c r="BO201" i="21" s="1"/>
  <c r="X224" i="21"/>
  <c r="Y224" i="21"/>
  <c r="AZ240" i="21"/>
  <c r="N240" i="19"/>
  <c r="K241" i="19"/>
  <c r="V238" i="19"/>
  <c r="X238" i="19" s="1"/>
  <c r="S239" i="19" s="1"/>
  <c r="O198" i="21" l="1"/>
  <c r="P198" i="21" s="1"/>
  <c r="Q198" i="21" s="1"/>
  <c r="M199" i="21" s="1"/>
  <c r="AC199" i="21"/>
  <c r="AD199" i="21" s="1"/>
  <c r="BB221" i="21"/>
  <c r="BD221" i="21"/>
  <c r="BC221" i="21"/>
  <c r="BE221" i="21" s="1"/>
  <c r="BA222" i="21" s="1"/>
  <c r="BB222" i="21" s="1"/>
  <c r="BJ236" i="21"/>
  <c r="BF237" i="21" s="1"/>
  <c r="BV276" i="21"/>
  <c r="BX276" i="21"/>
  <c r="BW276" i="21"/>
  <c r="BY276" i="21" s="1"/>
  <c r="BU277" i="21" s="1"/>
  <c r="BV277" i="21" s="1"/>
  <c r="BD222" i="21"/>
  <c r="AO209" i="21"/>
  <c r="AP209" i="21" s="1"/>
  <c r="AL210" i="21" s="1"/>
  <c r="AT202" i="21"/>
  <c r="BK202" i="21"/>
  <c r="AV241" i="21"/>
  <c r="T239" i="19"/>
  <c r="W238" i="19"/>
  <c r="P241" i="19"/>
  <c r="L241" i="19"/>
  <c r="K199" i="21" l="1"/>
  <c r="AQ199" i="21"/>
  <c r="AJ199" i="21" s="1"/>
  <c r="AK199" i="21" s="1"/>
  <c r="AG200" i="21" s="1"/>
  <c r="AH200" i="21" s="1"/>
  <c r="AI200" i="21" s="1"/>
  <c r="L199" i="21"/>
  <c r="N199" i="21"/>
  <c r="AR199" i="21" s="1"/>
  <c r="O199" i="21"/>
  <c r="P199" i="21"/>
  <c r="BC222" i="21"/>
  <c r="BG237" i="21"/>
  <c r="BH237" i="21"/>
  <c r="BI237" i="21"/>
  <c r="BJ237" i="21" s="1"/>
  <c r="BF238" i="21" s="1"/>
  <c r="BW277" i="21"/>
  <c r="BX277" i="21"/>
  <c r="BE222" i="21"/>
  <c r="BA223" i="21" s="1"/>
  <c r="BC223" i="21" s="1"/>
  <c r="AM210" i="21"/>
  <c r="AN210" i="21"/>
  <c r="BL202" i="21"/>
  <c r="CA202" i="21" s="1"/>
  <c r="BS202" i="21"/>
  <c r="BT202" i="21" s="1"/>
  <c r="BP203" i="21" s="1"/>
  <c r="BZ202" i="21"/>
  <c r="AU202" i="21"/>
  <c r="AX241" i="21"/>
  <c r="AW241" i="21"/>
  <c r="AY241" i="21"/>
  <c r="M241" i="19"/>
  <c r="N241" i="19" s="1"/>
  <c r="Y239" i="19"/>
  <c r="U239" i="19"/>
  <c r="Q199" i="21" l="1"/>
  <c r="AE199" i="21"/>
  <c r="AF199" i="21" s="1"/>
  <c r="AB200" i="21" s="1"/>
  <c r="BH238" i="21"/>
  <c r="BG238" i="21"/>
  <c r="BI238" i="21"/>
  <c r="BY277" i="21"/>
  <c r="BU278" i="21" s="1"/>
  <c r="BX278" i="21" s="1"/>
  <c r="BD223" i="21"/>
  <c r="BE223" i="21" s="1"/>
  <c r="BA224" i="21" s="1"/>
  <c r="BB223" i="21"/>
  <c r="BQ203" i="21"/>
  <c r="BR203" i="21" s="1"/>
  <c r="BM202" i="21"/>
  <c r="AZ241" i="21"/>
  <c r="AV242" i="21" s="1"/>
  <c r="O241" i="19"/>
  <c r="J242" i="19" s="1"/>
  <c r="K242" i="19" s="1"/>
  <c r="V239" i="19"/>
  <c r="X239" i="19" s="1"/>
  <c r="S240" i="19" s="1"/>
  <c r="AC200" i="21" l="1"/>
  <c r="AD200" i="21"/>
  <c r="M200" i="21"/>
  <c r="K200" i="21"/>
  <c r="BJ238" i="21"/>
  <c r="BF239" i="21" s="1"/>
  <c r="BI239" i="21"/>
  <c r="BG239" i="21"/>
  <c r="BH239" i="21"/>
  <c r="BJ239" i="21" s="1"/>
  <c r="BF240" i="21" s="1"/>
  <c r="BV278" i="21"/>
  <c r="BW278" i="21"/>
  <c r="BY278" i="21" s="1"/>
  <c r="BU279" i="21" s="1"/>
  <c r="BD224" i="21"/>
  <c r="BC224" i="21"/>
  <c r="BB224" i="21"/>
  <c r="Z224" i="21"/>
  <c r="AA224" i="21" s="1"/>
  <c r="W225" i="21" s="1"/>
  <c r="AO210" i="21"/>
  <c r="AP210" i="21" s="1"/>
  <c r="AL211" i="21" s="1"/>
  <c r="BN202" i="21"/>
  <c r="BO202" i="21" s="1"/>
  <c r="AW242" i="21"/>
  <c r="AX242" i="21"/>
  <c r="AY242" i="21"/>
  <c r="W239" i="19"/>
  <c r="T240" i="19"/>
  <c r="P242" i="19"/>
  <c r="L242" i="19"/>
  <c r="N200" i="21" l="1"/>
  <c r="O200" i="21" s="1"/>
  <c r="L200" i="21"/>
  <c r="AQ200" i="21"/>
  <c r="AJ200" i="21" s="1"/>
  <c r="AK200" i="21" s="1"/>
  <c r="AG201" i="21" s="1"/>
  <c r="AH201" i="21" s="1"/>
  <c r="AI201" i="21" s="1"/>
  <c r="AR200" i="21"/>
  <c r="BE224" i="21"/>
  <c r="BA225" i="21" s="1"/>
  <c r="BG240" i="21"/>
  <c r="BH240" i="21"/>
  <c r="BI240" i="21"/>
  <c r="BV279" i="21"/>
  <c r="BW279" i="21"/>
  <c r="BX279" i="21"/>
  <c r="BY279" i="21" s="1"/>
  <c r="BU280" i="21" s="1"/>
  <c r="BC225" i="21"/>
  <c r="BE225" i="21" s="1"/>
  <c r="BA226" i="21" s="1"/>
  <c r="BD226" i="21" s="1"/>
  <c r="BD225" i="21"/>
  <c r="BB225" i="21"/>
  <c r="X225" i="21"/>
  <c r="Y225" i="21" s="1"/>
  <c r="Z225" i="21"/>
  <c r="AM211" i="21"/>
  <c r="AN211" i="21"/>
  <c r="AT203" i="21"/>
  <c r="BK203" i="21"/>
  <c r="AZ242" i="21"/>
  <c r="AV243" i="21" s="1"/>
  <c r="M242" i="19"/>
  <c r="O242" i="19" s="1"/>
  <c r="J243" i="19" s="1"/>
  <c r="Y240" i="19"/>
  <c r="U240" i="19"/>
  <c r="P200" i="21" l="1"/>
  <c r="Q200" i="21" s="1"/>
  <c r="AE200" i="21"/>
  <c r="AF200" i="21" s="1"/>
  <c r="AB201" i="21" s="1"/>
  <c r="BJ240" i="21"/>
  <c r="BF241" i="21" s="1"/>
  <c r="BV280" i="21"/>
  <c r="BX280" i="21"/>
  <c r="BW280" i="21"/>
  <c r="BI241" i="21"/>
  <c r="BG241" i="21"/>
  <c r="BH241" i="21"/>
  <c r="BJ241" i="21" s="1"/>
  <c r="BF242" i="21" s="1"/>
  <c r="BB226" i="21"/>
  <c r="BC226" i="21"/>
  <c r="BE226" i="21" s="1"/>
  <c r="BA227" i="21" s="1"/>
  <c r="BB227" i="21" s="1"/>
  <c r="AA225" i="21"/>
  <c r="W226" i="21" s="1"/>
  <c r="X226" i="21" s="1"/>
  <c r="Y226" i="21" s="1"/>
  <c r="BY280" i="21"/>
  <c r="BU281" i="21" s="1"/>
  <c r="BL203" i="21"/>
  <c r="CA203" i="21" s="1"/>
  <c r="BS203" i="21"/>
  <c r="BT203" i="21" s="1"/>
  <c r="BP204" i="21" s="1"/>
  <c r="AU203" i="21"/>
  <c r="BZ203" i="21"/>
  <c r="AX243" i="21"/>
  <c r="AY243" i="21"/>
  <c r="AW243" i="21"/>
  <c r="N242" i="19"/>
  <c r="K243" i="19"/>
  <c r="V240" i="19"/>
  <c r="W240" i="19" s="1"/>
  <c r="M201" i="21" l="1"/>
  <c r="K201" i="21"/>
  <c r="AC201" i="21"/>
  <c r="AD201" i="21"/>
  <c r="Z226" i="21"/>
  <c r="AA226" i="21" s="1"/>
  <c r="W227" i="21" s="1"/>
  <c r="Y227" i="21" s="1"/>
  <c r="BI242" i="21"/>
  <c r="BH242" i="21"/>
  <c r="BG242" i="21"/>
  <c r="BD227" i="21"/>
  <c r="BC227" i="21"/>
  <c r="BE227" i="21" s="1"/>
  <c r="BA228" i="21" s="1"/>
  <c r="BW281" i="21"/>
  <c r="BV281" i="21"/>
  <c r="BX281" i="21"/>
  <c r="AO211" i="21"/>
  <c r="AP211" i="21" s="1"/>
  <c r="AL212" i="21" s="1"/>
  <c r="BM203" i="21"/>
  <c r="BN203" i="21" s="1"/>
  <c r="BQ204" i="21"/>
  <c r="BR204" i="21" s="1"/>
  <c r="AZ243" i="21"/>
  <c r="AV244" i="21" s="1"/>
  <c r="X240" i="19"/>
  <c r="S241" i="19" s="1"/>
  <c r="P243" i="19"/>
  <c r="L243" i="19"/>
  <c r="Z227" i="21" l="1"/>
  <c r="AA227" i="21" s="1"/>
  <c r="W228" i="21" s="1"/>
  <c r="X228" i="21" s="1"/>
  <c r="AQ201" i="21"/>
  <c r="AJ201" i="21" s="1"/>
  <c r="AK201" i="21" s="1"/>
  <c r="AG202" i="21" s="1"/>
  <c r="L201" i="21"/>
  <c r="X227" i="21"/>
  <c r="N201" i="21"/>
  <c r="O201" i="21" s="1"/>
  <c r="P201" i="21" s="1"/>
  <c r="Q201" i="21" s="1"/>
  <c r="BJ242" i="21"/>
  <c r="BF243" i="21" s="1"/>
  <c r="BD228" i="21"/>
  <c r="BB228" i="21"/>
  <c r="BC228" i="21"/>
  <c r="BI243" i="21"/>
  <c r="BG243" i="21"/>
  <c r="BH243" i="21"/>
  <c r="BJ243" i="21" s="1"/>
  <c r="BF244" i="21" s="1"/>
  <c r="BE228" i="21"/>
  <c r="BA229" i="21" s="1"/>
  <c r="BD229" i="21" s="1"/>
  <c r="BY281" i="21"/>
  <c r="BU282" i="21" s="1"/>
  <c r="AM212" i="21"/>
  <c r="AN212" i="21" s="1"/>
  <c r="BO203" i="21"/>
  <c r="BK204" i="21" s="1"/>
  <c r="AX244" i="21"/>
  <c r="AW244" i="21"/>
  <c r="AY244" i="21"/>
  <c r="M243" i="19"/>
  <c r="O243" i="19" s="1"/>
  <c r="J244" i="19" s="1"/>
  <c r="T241" i="19"/>
  <c r="U241" i="19" s="1"/>
  <c r="V241" i="19" s="1"/>
  <c r="AR201" i="21" l="1"/>
  <c r="M202" i="21"/>
  <c r="AH202" i="21"/>
  <c r="AI202" i="21" s="1"/>
  <c r="AJ202" i="21"/>
  <c r="AK202" i="21" s="1"/>
  <c r="AG203" i="21" s="1"/>
  <c r="AH203" i="21" s="1"/>
  <c r="AI203" i="21" s="1"/>
  <c r="Y228" i="21"/>
  <c r="AE201" i="21"/>
  <c r="AF201" i="21" s="1"/>
  <c r="AB202" i="21" s="1"/>
  <c r="BB229" i="21"/>
  <c r="BC229" i="21"/>
  <c r="BH244" i="21"/>
  <c r="BI244" i="21"/>
  <c r="BJ244" i="21" s="1"/>
  <c r="BF245" i="21" s="1"/>
  <c r="BG244" i="21"/>
  <c r="BE229" i="21"/>
  <c r="BA230" i="21" s="1"/>
  <c r="BD230" i="21" s="1"/>
  <c r="AT204" i="21"/>
  <c r="AU204" i="21" s="1"/>
  <c r="BX282" i="21"/>
  <c r="BV282" i="21"/>
  <c r="BW282" i="21"/>
  <c r="BL204" i="21"/>
  <c r="CA204" i="21" s="1"/>
  <c r="BS204" i="21"/>
  <c r="BT204" i="21" s="1"/>
  <c r="BP205" i="21" s="1"/>
  <c r="AZ244" i="21"/>
  <c r="N243" i="19"/>
  <c r="K244" i="19"/>
  <c r="X241" i="19"/>
  <c r="S242" i="19" s="1"/>
  <c r="W241" i="19"/>
  <c r="Y241" i="19"/>
  <c r="K202" i="21" l="1"/>
  <c r="AC202" i="21"/>
  <c r="AD202" i="21"/>
  <c r="P202" i="21"/>
  <c r="N202" i="21"/>
  <c r="O202" i="21"/>
  <c r="BH245" i="21"/>
  <c r="BI245" i="21"/>
  <c r="BG245" i="21"/>
  <c r="BJ245" i="21"/>
  <c r="BF246" i="21" s="1"/>
  <c r="BB230" i="21"/>
  <c r="BY282" i="21"/>
  <c r="BU283" i="21" s="1"/>
  <c r="BX283" i="21" s="1"/>
  <c r="BC230" i="21"/>
  <c r="BE230" i="21" s="1"/>
  <c r="BA231" i="21" s="1"/>
  <c r="BZ204" i="21"/>
  <c r="AO212" i="21"/>
  <c r="AP212" i="21" s="1"/>
  <c r="AL213" i="21" s="1"/>
  <c r="BM204" i="21"/>
  <c r="BQ205" i="21"/>
  <c r="BR205" i="21" s="1"/>
  <c r="Z228" i="21"/>
  <c r="AA228" i="21" s="1"/>
  <c r="W229" i="21" s="1"/>
  <c r="AV245" i="21"/>
  <c r="T242" i="19"/>
  <c r="P244" i="19"/>
  <c r="L244" i="19"/>
  <c r="Q202" i="21" l="1"/>
  <c r="AR202" i="21"/>
  <c r="AQ202" i="21"/>
  <c r="AE202" i="21" s="1"/>
  <c r="AF202" i="21" s="1"/>
  <c r="AB203" i="21" s="1"/>
  <c r="L202" i="21"/>
  <c r="BV283" i="21"/>
  <c r="BI246" i="21"/>
  <c r="BH246" i="21"/>
  <c r="BJ246" i="21" s="1"/>
  <c r="BF247" i="21" s="1"/>
  <c r="BG246" i="21"/>
  <c r="BW283" i="21"/>
  <c r="BY283" i="21" s="1"/>
  <c r="BU284" i="21" s="1"/>
  <c r="BW284" i="21" s="1"/>
  <c r="BD231" i="21"/>
  <c r="BC231" i="21"/>
  <c r="BE231" i="21" s="1"/>
  <c r="BA232" i="21" s="1"/>
  <c r="BB232" i="21" s="1"/>
  <c r="BB231" i="21"/>
  <c r="BN204" i="21"/>
  <c r="BO204" i="21" s="1"/>
  <c r="BK205" i="21" s="1"/>
  <c r="BS205" i="21" s="1"/>
  <c r="BT205" i="21" s="1"/>
  <c r="BP206" i="21" s="1"/>
  <c r="BQ206" i="21" s="1"/>
  <c r="BR206" i="21" s="1"/>
  <c r="AM213" i="21"/>
  <c r="AN213" i="21"/>
  <c r="X229" i="21"/>
  <c r="Y229" i="21" s="1"/>
  <c r="AW245" i="21"/>
  <c r="AX245" i="21"/>
  <c r="AY245" i="21"/>
  <c r="M244" i="19"/>
  <c r="O244" i="19" s="1"/>
  <c r="J245" i="19" s="1"/>
  <c r="Y242" i="19"/>
  <c r="U242" i="19"/>
  <c r="AC203" i="21" l="1"/>
  <c r="AD203" i="21" s="1"/>
  <c r="M203" i="21"/>
  <c r="K203" i="21"/>
  <c r="BV284" i="21"/>
  <c r="BD232" i="21"/>
  <c r="BL205" i="21"/>
  <c r="CA205" i="21" s="1"/>
  <c r="BI247" i="21"/>
  <c r="BH247" i="21"/>
  <c r="BJ247" i="21" s="1"/>
  <c r="BF248" i="21" s="1"/>
  <c r="BG247" i="21"/>
  <c r="BX284" i="21"/>
  <c r="BY284" i="21" s="1"/>
  <c r="BU285" i="21" s="1"/>
  <c r="BC232" i="21"/>
  <c r="BE232" i="21" s="1"/>
  <c r="BA233" i="21" s="1"/>
  <c r="AT205" i="21"/>
  <c r="BZ205" i="21" s="1"/>
  <c r="AZ245" i="21"/>
  <c r="N244" i="19"/>
  <c r="K245" i="19"/>
  <c r="L245" i="19" s="1"/>
  <c r="M245" i="19" s="1"/>
  <c r="O245" i="19" s="1"/>
  <c r="J246" i="19" s="1"/>
  <c r="V242" i="19"/>
  <c r="W242" i="19" s="1"/>
  <c r="O203" i="21" l="1"/>
  <c r="P203" i="21"/>
  <c r="N203" i="21"/>
  <c r="Q203" i="21"/>
  <c r="L203" i="21"/>
  <c r="AQ203" i="21"/>
  <c r="AJ203" i="21" s="1"/>
  <c r="AK203" i="21" s="1"/>
  <c r="AG204" i="21" s="1"/>
  <c r="AR203" i="21"/>
  <c r="BB233" i="21"/>
  <c r="BD233" i="21"/>
  <c r="BX285" i="21"/>
  <c r="BW285" i="21"/>
  <c r="BV285" i="21"/>
  <c r="BG248" i="21"/>
  <c r="BI248" i="21"/>
  <c r="BH248" i="21"/>
  <c r="BC233" i="21"/>
  <c r="BE233" i="21" s="1"/>
  <c r="BA234" i="21" s="1"/>
  <c r="BM205" i="21"/>
  <c r="BN205" i="21" s="1"/>
  <c r="BO205" i="21" s="1"/>
  <c r="BK206" i="21" s="1"/>
  <c r="AU205" i="21"/>
  <c r="BY285" i="21"/>
  <c r="BU286" i="21" s="1"/>
  <c r="BV286" i="21"/>
  <c r="BX286" i="21"/>
  <c r="BW286" i="21"/>
  <c r="BY286" i="21" s="1"/>
  <c r="BU287" i="21" s="1"/>
  <c r="AO213" i="21"/>
  <c r="AP213" i="21" s="1"/>
  <c r="AL214" i="21" s="1"/>
  <c r="Z229" i="21"/>
  <c r="AA229" i="21" s="1"/>
  <c r="W230" i="21" s="1"/>
  <c r="AV246" i="21"/>
  <c r="K246" i="19"/>
  <c r="N245" i="19"/>
  <c r="P245" i="19"/>
  <c r="X242" i="19"/>
  <c r="S243" i="19" s="1"/>
  <c r="AH204" i="21" l="1"/>
  <c r="AI204" i="21" s="1"/>
  <c r="AJ204" i="21"/>
  <c r="AK204" i="21" s="1"/>
  <c r="AG205" i="21" s="1"/>
  <c r="AH205" i="21" s="1"/>
  <c r="AI205" i="21" s="1"/>
  <c r="AE203" i="21"/>
  <c r="AF203" i="21" s="1"/>
  <c r="AB204" i="21" s="1"/>
  <c r="M204" i="21"/>
  <c r="BD234" i="21"/>
  <c r="BB234" i="21"/>
  <c r="BC234" i="21"/>
  <c r="BE234" i="21" s="1"/>
  <c r="BA235" i="21" s="1"/>
  <c r="BD235" i="21" s="1"/>
  <c r="AT206" i="21"/>
  <c r="BZ206" i="21" s="1"/>
  <c r="BJ248" i="21"/>
  <c r="BF249" i="21" s="1"/>
  <c r="BV287" i="21"/>
  <c r="BX287" i="21"/>
  <c r="BW287" i="21"/>
  <c r="BY287" i="21" s="1"/>
  <c r="BU288" i="21" s="1"/>
  <c r="AM214" i="21"/>
  <c r="AN214" i="21" s="1"/>
  <c r="BL206" i="21"/>
  <c r="CA206" i="21" s="1"/>
  <c r="BS206" i="21"/>
  <c r="BT206" i="21" s="1"/>
  <c r="BP207" i="21" s="1"/>
  <c r="Z230" i="21"/>
  <c r="X230" i="21"/>
  <c r="Y230" i="21"/>
  <c r="AX246" i="21"/>
  <c r="AW246" i="21"/>
  <c r="AY246" i="21"/>
  <c r="P246" i="19"/>
  <c r="T243" i="19"/>
  <c r="L246" i="19"/>
  <c r="AC204" i="21" l="1"/>
  <c r="AD204" i="21"/>
  <c r="K204" i="21"/>
  <c r="N204" i="21"/>
  <c r="P204" i="21"/>
  <c r="O204" i="21"/>
  <c r="Q204" i="21" s="1"/>
  <c r="BG249" i="21"/>
  <c r="BI249" i="21"/>
  <c r="BH249" i="21"/>
  <c r="BJ249" i="21"/>
  <c r="BF250" i="21" s="1"/>
  <c r="BB235" i="21"/>
  <c r="BC235" i="21"/>
  <c r="BE235" i="21" s="1"/>
  <c r="BA236" i="21" s="1"/>
  <c r="AU206" i="21"/>
  <c r="BV288" i="21"/>
  <c r="BW288" i="21"/>
  <c r="BX288" i="21"/>
  <c r="BY288" i="21" s="1"/>
  <c r="BU289" i="21" s="1"/>
  <c r="BM206" i="21"/>
  <c r="BN206" i="21" s="1"/>
  <c r="BO206" i="21" s="1"/>
  <c r="BQ207" i="21"/>
  <c r="BR207" i="21" s="1"/>
  <c r="AA230" i="21"/>
  <c r="W231" i="21" s="1"/>
  <c r="AZ246" i="21"/>
  <c r="AV247" i="21" s="1"/>
  <c r="M246" i="19"/>
  <c r="O246" i="19" s="1"/>
  <c r="J247" i="19" s="1"/>
  <c r="Y243" i="19"/>
  <c r="U243" i="19"/>
  <c r="M205" i="21" l="1"/>
  <c r="L204" i="21"/>
  <c r="AQ204" i="21"/>
  <c r="AE204" i="21" s="1"/>
  <c r="AF204" i="21" s="1"/>
  <c r="AR204" i="21"/>
  <c r="BC236" i="21"/>
  <c r="BD236" i="21"/>
  <c r="BE236" i="21" s="1"/>
  <c r="BA237" i="21" s="1"/>
  <c r="BB236" i="21"/>
  <c r="BG250" i="21"/>
  <c r="BH250" i="21"/>
  <c r="BI250" i="21"/>
  <c r="BV289" i="21"/>
  <c r="BX289" i="21"/>
  <c r="BW289" i="21"/>
  <c r="BK207" i="21"/>
  <c r="BS207" i="21" s="1"/>
  <c r="BT207" i="21" s="1"/>
  <c r="BP208" i="21" s="1"/>
  <c r="BQ208" i="21" s="1"/>
  <c r="BR208" i="21" s="1"/>
  <c r="AT207" i="21"/>
  <c r="BZ207" i="21" s="1"/>
  <c r="AO214" i="21"/>
  <c r="AP214" i="21" s="1"/>
  <c r="AL215" i="21" s="1"/>
  <c r="N246" i="19"/>
  <c r="X231" i="21"/>
  <c r="Y231" i="21" s="1"/>
  <c r="Z231" i="21"/>
  <c r="AW247" i="21"/>
  <c r="AX247" i="21"/>
  <c r="AY247" i="21"/>
  <c r="K247" i="19"/>
  <c r="V243" i="19"/>
  <c r="W243" i="19" s="1"/>
  <c r="AB205" i="21" l="1"/>
  <c r="K205" i="21"/>
  <c r="P205" i="21"/>
  <c r="N205" i="21"/>
  <c r="O205" i="21"/>
  <c r="Q205" i="21" s="1"/>
  <c r="BJ250" i="21"/>
  <c r="BF251" i="21" s="1"/>
  <c r="BH251" i="21"/>
  <c r="BG251" i="21"/>
  <c r="BI251" i="21"/>
  <c r="BJ251" i="21" s="1"/>
  <c r="BF252" i="21" s="1"/>
  <c r="BB237" i="21"/>
  <c r="BC237" i="21"/>
  <c r="BD237" i="21"/>
  <c r="BE237" i="21"/>
  <c r="BA238" i="21" s="1"/>
  <c r="BB238" i="21" s="1"/>
  <c r="BL207" i="21"/>
  <c r="BM207" i="21" s="1"/>
  <c r="BN207" i="21" s="1"/>
  <c r="BO207" i="21" s="1"/>
  <c r="AT208" i="21" s="1"/>
  <c r="AU208" i="21" s="1"/>
  <c r="BY289" i="21"/>
  <c r="BU290" i="21" s="1"/>
  <c r="AU207" i="21"/>
  <c r="AM215" i="21"/>
  <c r="AN215" i="21" s="1"/>
  <c r="AA231" i="21"/>
  <c r="W232" i="21" s="1"/>
  <c r="X232" i="21" s="1"/>
  <c r="Y232" i="21" s="1"/>
  <c r="AZ247" i="21"/>
  <c r="AV248" i="21" s="1"/>
  <c r="X243" i="19"/>
  <c r="S244" i="19" s="1"/>
  <c r="P247" i="19"/>
  <c r="L247" i="19"/>
  <c r="M206" i="21" l="1"/>
  <c r="AQ205" i="21"/>
  <c r="AJ205" i="21" s="1"/>
  <c r="AK205" i="21" s="1"/>
  <c r="AG206" i="21" s="1"/>
  <c r="L205" i="21"/>
  <c r="AC205" i="21"/>
  <c r="AR205" i="21" s="1"/>
  <c r="BG252" i="21"/>
  <c r="BI252" i="21"/>
  <c r="BH252" i="21"/>
  <c r="BJ252" i="21" s="1"/>
  <c r="BF253" i="21" s="1"/>
  <c r="BD238" i="21"/>
  <c r="BC238" i="21"/>
  <c r="BE238" i="21"/>
  <c r="BA239" i="21" s="1"/>
  <c r="BB239" i="21" s="1"/>
  <c r="CA207" i="21"/>
  <c r="BZ208" i="21"/>
  <c r="BK208" i="21"/>
  <c r="BS208" i="21" s="1"/>
  <c r="BT208" i="21" s="1"/>
  <c r="BP209" i="21" s="1"/>
  <c r="BQ209" i="21" s="1"/>
  <c r="BR209" i="21" s="1"/>
  <c r="BV290" i="21"/>
  <c r="BW290" i="21"/>
  <c r="BX290" i="21"/>
  <c r="AX248" i="21"/>
  <c r="AY248" i="21"/>
  <c r="AZ248" i="21" s="1"/>
  <c r="AW248" i="21"/>
  <c r="M247" i="19"/>
  <c r="O247" i="19" s="1"/>
  <c r="J248" i="19" s="1"/>
  <c r="T244" i="19"/>
  <c r="U244" i="19" s="1"/>
  <c r="AD205" i="21" l="1"/>
  <c r="AE205" i="21" s="1"/>
  <c r="AF205" i="21" s="1"/>
  <c r="AB206" i="21" s="1"/>
  <c r="AC206" i="21" s="1"/>
  <c r="AI206" i="21"/>
  <c r="AH206" i="21"/>
  <c r="N206" i="21"/>
  <c r="O206" i="21"/>
  <c r="Q206" i="21" s="1"/>
  <c r="P206" i="21"/>
  <c r="BI253" i="21"/>
  <c r="BG253" i="21"/>
  <c r="BH253" i="21"/>
  <c r="BJ253" i="21" s="1"/>
  <c r="BF254" i="21" s="1"/>
  <c r="BC239" i="21"/>
  <c r="BD239" i="21"/>
  <c r="BL208" i="21"/>
  <c r="CA208" i="21" s="1"/>
  <c r="BY290" i="21"/>
  <c r="BU291" i="21" s="1"/>
  <c r="BM208" i="21"/>
  <c r="BN208" i="21" s="1"/>
  <c r="AO215" i="21"/>
  <c r="AP215" i="21" s="1"/>
  <c r="AL216" i="21" s="1"/>
  <c r="Z232" i="21"/>
  <c r="AA232" i="21" s="1"/>
  <c r="W233" i="21" s="1"/>
  <c r="AV249" i="21"/>
  <c r="N247" i="19"/>
  <c r="V244" i="19"/>
  <c r="X244" i="19" s="1"/>
  <c r="S245" i="19" s="1"/>
  <c r="Y244" i="19"/>
  <c r="K248" i="19"/>
  <c r="K206" i="21" l="1"/>
  <c r="M207" i="21"/>
  <c r="L206" i="21"/>
  <c r="AQ206" i="21"/>
  <c r="AJ206" i="21" s="1"/>
  <c r="AK206" i="21" s="1"/>
  <c r="AG207" i="21" s="1"/>
  <c r="AR206" i="21"/>
  <c r="AD206" i="21"/>
  <c r="AE206" i="21" s="1"/>
  <c r="AF206" i="21" s="1"/>
  <c r="AB207" i="21" s="1"/>
  <c r="BH254" i="21"/>
  <c r="BG254" i="21"/>
  <c r="BI254" i="21"/>
  <c r="BJ254" i="21"/>
  <c r="BF255" i="21" s="1"/>
  <c r="BE239" i="21"/>
  <c r="BA240" i="21" s="1"/>
  <c r="BV291" i="21"/>
  <c r="BW291" i="21"/>
  <c r="BX291" i="21"/>
  <c r="BO208" i="21"/>
  <c r="BK209" i="21" s="1"/>
  <c r="AM216" i="21"/>
  <c r="AN216" i="21" s="1"/>
  <c r="X233" i="21"/>
  <c r="Y233" i="21"/>
  <c r="Z233" i="21"/>
  <c r="AW249" i="21"/>
  <c r="AY249" i="21"/>
  <c r="AX249" i="21"/>
  <c r="W244" i="19"/>
  <c r="T245" i="19"/>
  <c r="Y245" i="19" s="1"/>
  <c r="P248" i="19"/>
  <c r="L248" i="19"/>
  <c r="AC207" i="21" l="1"/>
  <c r="AD207" i="21"/>
  <c r="K207" i="21"/>
  <c r="AI207" i="21"/>
  <c r="AH207" i="21"/>
  <c r="AJ207" i="21"/>
  <c r="AK207" i="21"/>
  <c r="AG208" i="21" s="1"/>
  <c r="O207" i="21"/>
  <c r="Q207" i="21" s="1"/>
  <c r="N207" i="21"/>
  <c r="P207" i="21"/>
  <c r="BB240" i="21"/>
  <c r="BD240" i="21"/>
  <c r="BC240" i="21"/>
  <c r="BE240" i="21" s="1"/>
  <c r="BA241" i="21" s="1"/>
  <c r="BI255" i="21"/>
  <c r="BG255" i="21"/>
  <c r="BH255" i="21"/>
  <c r="BJ255" i="21"/>
  <c r="BF256" i="21" s="1"/>
  <c r="BY291" i="21"/>
  <c r="BU292" i="21" s="1"/>
  <c r="BV292" i="21" s="1"/>
  <c r="AT209" i="21"/>
  <c r="BZ209" i="21" s="1"/>
  <c r="BS209" i="21" s="1"/>
  <c r="BT209" i="21" s="1"/>
  <c r="BP210" i="21" s="1"/>
  <c r="AA233" i="21"/>
  <c r="W234" i="21" s="1"/>
  <c r="X234" i="21" s="1"/>
  <c r="Y234" i="21" s="1"/>
  <c r="AZ249" i="21"/>
  <c r="AV250" i="21" s="1"/>
  <c r="BL209" i="21"/>
  <c r="CA209" i="21" s="1"/>
  <c r="M248" i="19"/>
  <c r="O248" i="19" s="1"/>
  <c r="J249" i="19" s="1"/>
  <c r="U245" i="19"/>
  <c r="AQ207" i="21" l="1"/>
  <c r="AE207" i="21" s="1"/>
  <c r="AF207" i="21" s="1"/>
  <c r="L207" i="21"/>
  <c r="AH208" i="21"/>
  <c r="AI208" i="21" s="1"/>
  <c r="AJ208" i="21"/>
  <c r="AK208" i="21" s="1"/>
  <c r="AG209" i="21" s="1"/>
  <c r="M208" i="21"/>
  <c r="AR207" i="21"/>
  <c r="BD241" i="21"/>
  <c r="BB241" i="21"/>
  <c r="BC241" i="21"/>
  <c r="BE241" i="21"/>
  <c r="BA242" i="21" s="1"/>
  <c r="BI256" i="21"/>
  <c r="BG256" i="21"/>
  <c r="BH256" i="21"/>
  <c r="BJ256" i="21" s="1"/>
  <c r="BF257" i="21" s="1"/>
  <c r="BX292" i="21"/>
  <c r="BW292" i="21"/>
  <c r="BY292" i="21" s="1"/>
  <c r="BU293" i="21" s="1"/>
  <c r="BW293" i="21" s="1"/>
  <c r="AU209" i="21"/>
  <c r="AO216" i="21"/>
  <c r="AP216" i="21" s="1"/>
  <c r="AL217" i="21" s="1"/>
  <c r="BM209" i="21"/>
  <c r="BQ210" i="21"/>
  <c r="BR210" i="21" s="1"/>
  <c r="AX250" i="21"/>
  <c r="AW250" i="21"/>
  <c r="AY250" i="21"/>
  <c r="K249" i="19"/>
  <c r="V245" i="19"/>
  <c r="X245" i="19" s="1"/>
  <c r="S246" i="19" s="1"/>
  <c r="N248" i="19"/>
  <c r="AB208" i="21" l="1"/>
  <c r="K208" i="21"/>
  <c r="P208" i="21"/>
  <c r="N208" i="21"/>
  <c r="O208" i="21"/>
  <c r="Q208" i="21"/>
  <c r="AH209" i="21"/>
  <c r="AI209" i="21"/>
  <c r="AK209" i="21" s="1"/>
  <c r="AG210" i="21" s="1"/>
  <c r="AJ209" i="21"/>
  <c r="BH257" i="21"/>
  <c r="BG257" i="21"/>
  <c r="BI257" i="21"/>
  <c r="BB242" i="21"/>
  <c r="BD242" i="21"/>
  <c r="BC242" i="21"/>
  <c r="BE242" i="21" s="1"/>
  <c r="BA243" i="21" s="1"/>
  <c r="BV293" i="21"/>
  <c r="BX293" i="21"/>
  <c r="BY293" i="21" s="1"/>
  <c r="BU294" i="21" s="1"/>
  <c r="AM217" i="21"/>
  <c r="AN217" i="21" s="1"/>
  <c r="AO217" i="21"/>
  <c r="BN209" i="21"/>
  <c r="BO209" i="21" s="1"/>
  <c r="Z234" i="21"/>
  <c r="AA234" i="21" s="1"/>
  <c r="W235" i="21" s="1"/>
  <c r="AZ250" i="21"/>
  <c r="T246" i="19"/>
  <c r="P249" i="19"/>
  <c r="W245" i="19"/>
  <c r="L249" i="19"/>
  <c r="AJ210" i="21" l="1"/>
  <c r="AH210" i="21"/>
  <c r="AI210" i="21"/>
  <c r="AK210" i="21" s="1"/>
  <c r="AG211" i="21" s="1"/>
  <c r="L208" i="21"/>
  <c r="AQ208" i="21"/>
  <c r="M209" i="21"/>
  <c r="AC208" i="21"/>
  <c r="AR208" i="21" s="1"/>
  <c r="AD208" i="21"/>
  <c r="BC243" i="21"/>
  <c r="BB243" i="21"/>
  <c r="BD243" i="21"/>
  <c r="BE243" i="21" s="1"/>
  <c r="BA244" i="21" s="1"/>
  <c r="BJ257" i="21"/>
  <c r="BF258" i="21" s="1"/>
  <c r="BW294" i="21"/>
  <c r="BV294" i="21"/>
  <c r="BX294" i="21"/>
  <c r="AP217" i="21"/>
  <c r="AL218" i="21" s="1"/>
  <c r="AM218" i="21" s="1"/>
  <c r="AT210" i="21"/>
  <c r="BK210" i="21"/>
  <c r="Y235" i="21"/>
  <c r="X235" i="21"/>
  <c r="AV251" i="21"/>
  <c r="M249" i="19"/>
  <c r="O249" i="19" s="1"/>
  <c r="J250" i="19" s="1"/>
  <c r="Y246" i="19"/>
  <c r="U246" i="19"/>
  <c r="AJ211" i="21" l="1"/>
  <c r="AH211" i="21"/>
  <c r="AI211" i="21"/>
  <c r="AK211" i="21"/>
  <c r="AG212" i="21" s="1"/>
  <c r="N209" i="21"/>
  <c r="P209" i="21"/>
  <c r="O209" i="21"/>
  <c r="Q209" i="21"/>
  <c r="AE208" i="21"/>
  <c r="AF208" i="21" s="1"/>
  <c r="AN218" i="21"/>
  <c r="BD244" i="21"/>
  <c r="BB244" i="21"/>
  <c r="BC244" i="21"/>
  <c r="BY294" i="21"/>
  <c r="BU295" i="21" s="1"/>
  <c r="BW295" i="21" s="1"/>
  <c r="BE244" i="21"/>
  <c r="BI258" i="21"/>
  <c r="BH258" i="21"/>
  <c r="BJ258" i="21" s="1"/>
  <c r="BF259" i="21" s="1"/>
  <c r="BG258" i="21"/>
  <c r="AU210" i="21"/>
  <c r="BZ210" i="21"/>
  <c r="BS210" i="21" s="1"/>
  <c r="BT210" i="21" s="1"/>
  <c r="BP211" i="21" s="1"/>
  <c r="BQ211" i="21" s="1"/>
  <c r="BR211" i="21" s="1"/>
  <c r="BL210" i="21"/>
  <c r="CA210" i="21" s="1"/>
  <c r="BA245" i="21"/>
  <c r="AY251" i="21"/>
  <c r="AW251" i="21"/>
  <c r="AX251" i="21"/>
  <c r="N249" i="19"/>
  <c r="K250" i="19"/>
  <c r="V246" i="19"/>
  <c r="W246" i="19" s="1"/>
  <c r="AI212" i="21" l="1"/>
  <c r="AJ212" i="21"/>
  <c r="AK212" i="21" s="1"/>
  <c r="AG213" i="21" s="1"/>
  <c r="AH212" i="21"/>
  <c r="M210" i="21"/>
  <c r="AB209" i="21"/>
  <c r="K209" i="21"/>
  <c r="BV295" i="21"/>
  <c r="BX295" i="21"/>
  <c r="BY295" i="21" s="1"/>
  <c r="BU296" i="21" s="1"/>
  <c r="BW296" i="21" s="1"/>
  <c r="BG259" i="21"/>
  <c r="BI259" i="21"/>
  <c r="BH259" i="21"/>
  <c r="BJ259" i="21"/>
  <c r="BF260" i="21" s="1"/>
  <c r="BX296" i="21"/>
  <c r="BY296" i="21" s="1"/>
  <c r="BU297" i="21" s="1"/>
  <c r="BV297" i="21" s="1"/>
  <c r="BV296" i="21"/>
  <c r="BM210" i="21"/>
  <c r="BN210" i="21" s="1"/>
  <c r="BO210" i="21" s="1"/>
  <c r="AZ251" i="21"/>
  <c r="BD245" i="21"/>
  <c r="BC245" i="21"/>
  <c r="BB245" i="21"/>
  <c r="X246" i="19"/>
  <c r="S247" i="19" s="1"/>
  <c r="P250" i="19"/>
  <c r="L250" i="19"/>
  <c r="AC209" i="21" l="1"/>
  <c r="AR209" i="21" s="1"/>
  <c r="AD209" i="21"/>
  <c r="AH213" i="21"/>
  <c r="AI213" i="21" s="1"/>
  <c r="AJ213" i="21"/>
  <c r="AK213" i="21" s="1"/>
  <c r="AG214" i="21" s="1"/>
  <c r="AH214" i="21" s="1"/>
  <c r="AI214" i="21" s="1"/>
  <c r="AJ214" i="21" s="1"/>
  <c r="AK214" i="21" s="1"/>
  <c r="AG215" i="21" s="1"/>
  <c r="L209" i="21"/>
  <c r="AQ209" i="21"/>
  <c r="AE209" i="21" s="1"/>
  <c r="AF209" i="21" s="1"/>
  <c r="N210" i="21"/>
  <c r="P210" i="21"/>
  <c r="Q210" i="21" s="1"/>
  <c r="O210" i="21"/>
  <c r="BW297" i="21"/>
  <c r="BX297" i="21"/>
  <c r="BI260" i="21"/>
  <c r="BG260" i="21"/>
  <c r="BH260" i="21"/>
  <c r="BJ260" i="21" s="1"/>
  <c r="BF261" i="21" s="1"/>
  <c r="AO218" i="21"/>
  <c r="AP218" i="21" s="1"/>
  <c r="AL219" i="21" s="1"/>
  <c r="BK211" i="21"/>
  <c r="AT211" i="21"/>
  <c r="BE245" i="21"/>
  <c r="AV252" i="21"/>
  <c r="M250" i="19"/>
  <c r="O250" i="19" s="1"/>
  <c r="J251" i="19" s="1"/>
  <c r="T247" i="19"/>
  <c r="AB210" i="21" l="1"/>
  <c r="K210" i="21"/>
  <c r="M211" i="21"/>
  <c r="AH215" i="21"/>
  <c r="AI215" i="21" s="1"/>
  <c r="AJ215" i="21"/>
  <c r="AK215" i="21" s="1"/>
  <c r="AG216" i="21" s="1"/>
  <c r="BG261" i="21"/>
  <c r="BH261" i="21"/>
  <c r="BI261" i="21"/>
  <c r="BJ261" i="21" s="1"/>
  <c r="BF262" i="21" s="1"/>
  <c r="BY297" i="21"/>
  <c r="BU298" i="21" s="1"/>
  <c r="AO219" i="21"/>
  <c r="AM219" i="21"/>
  <c r="BL211" i="21"/>
  <c r="CA211" i="21" s="1"/>
  <c r="BZ211" i="21"/>
  <c r="BS211" i="21" s="1"/>
  <c r="BT211" i="21" s="1"/>
  <c r="BP212" i="21" s="1"/>
  <c r="BQ212" i="21" s="1"/>
  <c r="BR212" i="21" s="1"/>
  <c r="AU211" i="21"/>
  <c r="AX252" i="21"/>
  <c r="AW252" i="21"/>
  <c r="AY252" i="21"/>
  <c r="BA246" i="21"/>
  <c r="N250" i="19"/>
  <c r="Y247" i="19"/>
  <c r="U247" i="19"/>
  <c r="K251" i="19"/>
  <c r="L210" i="21" l="1"/>
  <c r="AQ210" i="21"/>
  <c r="AH216" i="21"/>
  <c r="AI216" i="21" s="1"/>
  <c r="AJ216" i="21"/>
  <c r="AK216" i="21" s="1"/>
  <c r="AG217" i="21" s="1"/>
  <c r="P211" i="21"/>
  <c r="O211" i="21"/>
  <c r="N211" i="21"/>
  <c r="Q211" i="21"/>
  <c r="M212" i="21" s="1"/>
  <c r="AC210" i="21"/>
  <c r="AR210" i="21" s="1"/>
  <c r="AD210" i="21"/>
  <c r="AE210" i="21" s="1"/>
  <c r="AF210" i="21" s="1"/>
  <c r="BX298" i="21"/>
  <c r="BW298" i="21"/>
  <c r="BY298" i="21" s="1"/>
  <c r="BU299" i="21" s="1"/>
  <c r="BV298" i="21"/>
  <c r="BG262" i="21"/>
  <c r="BI262" i="21"/>
  <c r="BH262" i="21"/>
  <c r="BJ262" i="21" s="1"/>
  <c r="BF263" i="21" s="1"/>
  <c r="AN219" i="21"/>
  <c r="AP219" i="21" s="1"/>
  <c r="AL220" i="21" s="1"/>
  <c r="BM211" i="21"/>
  <c r="AZ252" i="21"/>
  <c r="AV253" i="21" s="1"/>
  <c r="BC246" i="21"/>
  <c r="BD246" i="21"/>
  <c r="BB246" i="21"/>
  <c r="P251" i="19"/>
  <c r="L251" i="19"/>
  <c r="V247" i="19"/>
  <c r="X247" i="19" s="1"/>
  <c r="S248" i="19" s="1"/>
  <c r="AH217" i="21" l="1"/>
  <c r="AI217" i="21"/>
  <c r="AJ217" i="21"/>
  <c r="AK217" i="21" s="1"/>
  <c r="AG218" i="21" s="1"/>
  <c r="AB211" i="21"/>
  <c r="K211" i="21"/>
  <c r="P212" i="21"/>
  <c r="Q212" i="21" s="1"/>
  <c r="M213" i="21" s="1"/>
  <c r="O212" i="21"/>
  <c r="N212" i="21"/>
  <c r="BV299" i="21"/>
  <c r="BX299" i="21"/>
  <c r="BW299" i="21"/>
  <c r="BY299" i="21"/>
  <c r="BU300" i="21" s="1"/>
  <c r="BW300" i="21" s="1"/>
  <c r="BH263" i="21"/>
  <c r="BI263" i="21"/>
  <c r="BG263" i="21"/>
  <c r="AM220" i="21"/>
  <c r="AN220" i="21" s="1"/>
  <c r="BN211" i="21"/>
  <c r="BO211" i="21" s="1"/>
  <c r="BE246" i="21"/>
  <c r="AW253" i="21"/>
  <c r="AX253" i="21"/>
  <c r="AY253" i="21"/>
  <c r="W247" i="19"/>
  <c r="T248" i="19"/>
  <c r="M251" i="19"/>
  <c r="O251" i="19" s="1"/>
  <c r="J252" i="19" s="1"/>
  <c r="P213" i="21" l="1"/>
  <c r="N213" i="21"/>
  <c r="O213" i="21"/>
  <c r="Q213" i="21" s="1"/>
  <c r="M214" i="21" s="1"/>
  <c r="AJ218" i="21"/>
  <c r="AH218" i="21"/>
  <c r="AI218" i="21"/>
  <c r="AK218" i="21" s="1"/>
  <c r="AG219" i="21" s="1"/>
  <c r="L211" i="21"/>
  <c r="AQ211" i="21"/>
  <c r="AC211" i="21"/>
  <c r="AR211" i="21" s="1"/>
  <c r="AD211" i="21"/>
  <c r="BV300" i="21"/>
  <c r="BJ263" i="21"/>
  <c r="BF264" i="21" s="1"/>
  <c r="BX300" i="21"/>
  <c r="BY300" i="21"/>
  <c r="BU301" i="21" s="1"/>
  <c r="AO220" i="21"/>
  <c r="AP220" i="21" s="1"/>
  <c r="AL221" i="21" s="1"/>
  <c r="BK212" i="21"/>
  <c r="AT212" i="21"/>
  <c r="AZ253" i="21"/>
  <c r="AV254" i="21" s="1"/>
  <c r="BA247" i="21"/>
  <c r="K252" i="19"/>
  <c r="N251" i="19"/>
  <c r="Y248" i="19"/>
  <c r="U248" i="19"/>
  <c r="AH219" i="21" l="1"/>
  <c r="AJ219" i="21"/>
  <c r="AI219" i="21"/>
  <c r="AK219" i="21"/>
  <c r="AG220" i="21" s="1"/>
  <c r="N214" i="21"/>
  <c r="P214" i="21"/>
  <c r="O214" i="21"/>
  <c r="Q214" i="21" s="1"/>
  <c r="M215" i="21" s="1"/>
  <c r="AE211" i="21"/>
  <c r="AF211" i="21" s="1"/>
  <c r="BI264" i="21"/>
  <c r="BG264" i="21"/>
  <c r="BH264" i="21"/>
  <c r="BJ264" i="21" s="1"/>
  <c r="BF265" i="21" s="1"/>
  <c r="BX301" i="21"/>
  <c r="BW301" i="21"/>
  <c r="BV301" i="21"/>
  <c r="AM221" i="21"/>
  <c r="AN221" i="21" s="1"/>
  <c r="AO221" i="21"/>
  <c r="BL212" i="21"/>
  <c r="CA212" i="21" s="1"/>
  <c r="AU212" i="21"/>
  <c r="BZ212" i="21"/>
  <c r="BS212" i="21" s="1"/>
  <c r="BT212" i="21" s="1"/>
  <c r="BP213" i="21" s="1"/>
  <c r="BQ213" i="21" s="1"/>
  <c r="BR213" i="21" s="1"/>
  <c r="BB247" i="21"/>
  <c r="BD247" i="21"/>
  <c r="BC247" i="21"/>
  <c r="AW254" i="21"/>
  <c r="AY254" i="21"/>
  <c r="AX254" i="21"/>
  <c r="V248" i="19"/>
  <c r="W248" i="19" s="1"/>
  <c r="P252" i="19"/>
  <c r="L252" i="19"/>
  <c r="P215" i="21" l="1"/>
  <c r="N215" i="21"/>
  <c r="O215" i="21"/>
  <c r="Q215" i="21"/>
  <c r="M216" i="21" s="1"/>
  <c r="AJ220" i="21"/>
  <c r="AH220" i="21"/>
  <c r="AI220" i="21"/>
  <c r="AK220" i="21" s="1"/>
  <c r="AG221" i="21" s="1"/>
  <c r="AB212" i="21"/>
  <c r="K212" i="21"/>
  <c r="BG265" i="21"/>
  <c r="BH265" i="21"/>
  <c r="BI265" i="21"/>
  <c r="BJ265" i="21" s="1"/>
  <c r="BF266" i="21" s="1"/>
  <c r="BY301" i="21"/>
  <c r="BU302" i="21" s="1"/>
  <c r="BM212" i="21"/>
  <c r="BN212" i="21" s="1"/>
  <c r="AP221" i="21"/>
  <c r="AL222" i="21" s="1"/>
  <c r="BE247" i="21"/>
  <c r="BA248" i="21" s="1"/>
  <c r="AZ254" i="21"/>
  <c r="X248" i="19"/>
  <c r="S249" i="19" s="1"/>
  <c r="T249" i="19" s="1"/>
  <c r="M252" i="19"/>
  <c r="O252" i="19" s="1"/>
  <c r="J253" i="19" s="1"/>
  <c r="AH221" i="21" l="1"/>
  <c r="AJ221" i="21"/>
  <c r="AI221" i="21"/>
  <c r="AK221" i="21"/>
  <c r="AG222" i="21" s="1"/>
  <c r="P216" i="21"/>
  <c r="N216" i="21"/>
  <c r="O216" i="21"/>
  <c r="AC212" i="21"/>
  <c r="AR212" i="21" s="1"/>
  <c r="AQ212" i="21"/>
  <c r="L212" i="21"/>
  <c r="BH266" i="21"/>
  <c r="BG266" i="21"/>
  <c r="BI266" i="21"/>
  <c r="BJ266" i="21"/>
  <c r="BF267" i="21" s="1"/>
  <c r="BV302" i="21"/>
  <c r="BX302" i="21"/>
  <c r="BW302" i="21"/>
  <c r="BO212" i="21"/>
  <c r="AT213" i="21" s="1"/>
  <c r="AM222" i="21"/>
  <c r="AN222" i="21" s="1"/>
  <c r="BD248" i="21"/>
  <c r="BB248" i="21"/>
  <c r="BC248" i="21"/>
  <c r="AV255" i="21"/>
  <c r="K253" i="19"/>
  <c r="N252" i="19"/>
  <c r="Y249" i="19"/>
  <c r="U249" i="19"/>
  <c r="AI222" i="21" l="1"/>
  <c r="AJ222" i="21"/>
  <c r="AH222" i="21"/>
  <c r="AK222" i="21"/>
  <c r="AG223" i="21" s="1"/>
  <c r="Q216" i="21"/>
  <c r="M217" i="21" s="1"/>
  <c r="AD212" i="21"/>
  <c r="AE212" i="21" s="1"/>
  <c r="AF212" i="21" s="1"/>
  <c r="BI267" i="21"/>
  <c r="BG267" i="21"/>
  <c r="BH267" i="21"/>
  <c r="BJ267" i="21"/>
  <c r="BF268" i="21" s="1"/>
  <c r="BY302" i="21"/>
  <c r="BK213" i="21"/>
  <c r="BL213" i="21" s="1"/>
  <c r="CA213" i="21" s="1"/>
  <c r="BZ213" i="21"/>
  <c r="BS213" i="21" s="1"/>
  <c r="BT213" i="21" s="1"/>
  <c r="BP214" i="21" s="1"/>
  <c r="BQ214" i="21" s="1"/>
  <c r="BR214" i="21" s="1"/>
  <c r="AU213" i="21"/>
  <c r="BE248" i="21"/>
  <c r="BA249" i="21" s="1"/>
  <c r="AX255" i="21"/>
  <c r="AW255" i="21"/>
  <c r="AY255" i="21"/>
  <c r="V249" i="19"/>
  <c r="X249" i="19" s="1"/>
  <c r="S250" i="19" s="1"/>
  <c r="P253" i="19"/>
  <c r="L253" i="19"/>
  <c r="AB213" i="21" l="1"/>
  <c r="K213" i="21"/>
  <c r="AH223" i="21"/>
  <c r="AJ223" i="21"/>
  <c r="AI223" i="21"/>
  <c r="AK223" i="21"/>
  <c r="AG224" i="21" s="1"/>
  <c r="N217" i="21"/>
  <c r="P217" i="21"/>
  <c r="Q217" i="21" s="1"/>
  <c r="M218" i="21" s="1"/>
  <c r="O217" i="21"/>
  <c r="BG268" i="21"/>
  <c r="BI268" i="21"/>
  <c r="BH268" i="21"/>
  <c r="BJ268" i="21"/>
  <c r="BF269" i="21" s="1"/>
  <c r="BM213" i="21"/>
  <c r="BN213" i="21" s="1"/>
  <c r="BO213" i="21" s="1"/>
  <c r="AZ255" i="21"/>
  <c r="AV256" i="21" s="1"/>
  <c r="AO222" i="21"/>
  <c r="AP222" i="21" s="1"/>
  <c r="AL223" i="21" s="1"/>
  <c r="BD249" i="21"/>
  <c r="BB249" i="21"/>
  <c r="BC249" i="21"/>
  <c r="W249" i="19"/>
  <c r="M253" i="19"/>
  <c r="O253" i="19" s="1"/>
  <c r="J254" i="19" s="1"/>
  <c r="T250" i="19"/>
  <c r="U250" i="19" s="1"/>
  <c r="V250" i="19" s="1"/>
  <c r="P218" i="21" l="1"/>
  <c r="O218" i="21"/>
  <c r="N218" i="21"/>
  <c r="Q218" i="21"/>
  <c r="M219" i="21" s="1"/>
  <c r="AI224" i="21"/>
  <c r="AJ224" i="21"/>
  <c r="AK224" i="21" s="1"/>
  <c r="AG225" i="21" s="1"/>
  <c r="AH224" i="21"/>
  <c r="AQ213" i="21"/>
  <c r="AE213" i="21" s="1"/>
  <c r="AF213" i="21" s="1"/>
  <c r="L213" i="21"/>
  <c r="AC213" i="21"/>
  <c r="AR213" i="21" s="1"/>
  <c r="AD213" i="21"/>
  <c r="BH269" i="21"/>
  <c r="BG269" i="21"/>
  <c r="BI269" i="21"/>
  <c r="BJ269" i="21"/>
  <c r="BF270" i="21" s="1"/>
  <c r="AM223" i="21"/>
  <c r="AN223" i="21" s="1"/>
  <c r="BK214" i="21"/>
  <c r="AT214" i="21"/>
  <c r="BE249" i="21"/>
  <c r="BA250" i="21" s="1"/>
  <c r="AW256" i="21"/>
  <c r="AY256" i="21"/>
  <c r="AX256" i="21"/>
  <c r="N253" i="19"/>
  <c r="K254" i="19"/>
  <c r="X250" i="19"/>
  <c r="S251" i="19" s="1"/>
  <c r="W250" i="19"/>
  <c r="Y250" i="19"/>
  <c r="AB214" i="21" l="1"/>
  <c r="K214" i="21"/>
  <c r="AI225" i="21"/>
  <c r="AK225" i="21" s="1"/>
  <c r="AG226" i="21" s="1"/>
  <c r="AJ225" i="21"/>
  <c r="AH225" i="21"/>
  <c r="P219" i="21"/>
  <c r="O219" i="21"/>
  <c r="Q219" i="21" s="1"/>
  <c r="M220" i="21" s="1"/>
  <c r="N219" i="21"/>
  <c r="BI270" i="21"/>
  <c r="BG270" i="21"/>
  <c r="BH270" i="21"/>
  <c r="BJ270" i="21" s="1"/>
  <c r="BF271" i="21" s="1"/>
  <c r="AU214" i="21"/>
  <c r="BZ214" i="21"/>
  <c r="BS214" i="21" s="1"/>
  <c r="BT214" i="21" s="1"/>
  <c r="BP215" i="21" s="1"/>
  <c r="BL214" i="21"/>
  <c r="CA214" i="21" s="1"/>
  <c r="AZ256" i="21"/>
  <c r="BC250" i="21"/>
  <c r="BD250" i="21"/>
  <c r="BB250" i="21"/>
  <c r="T251" i="19"/>
  <c r="Y251" i="19" s="1"/>
  <c r="P254" i="19"/>
  <c r="L254" i="19"/>
  <c r="P220" i="21" l="1"/>
  <c r="O220" i="21"/>
  <c r="N220" i="21"/>
  <c r="AH226" i="21"/>
  <c r="AJ226" i="21"/>
  <c r="AI226" i="21"/>
  <c r="AK226" i="21" s="1"/>
  <c r="AG227" i="21" s="1"/>
  <c r="AQ214" i="21"/>
  <c r="L214" i="21"/>
  <c r="AC214" i="21"/>
  <c r="AR214" i="21" s="1"/>
  <c r="BI271" i="21"/>
  <c r="BH271" i="21"/>
  <c r="BJ271" i="21" s="1"/>
  <c r="BF272" i="21" s="1"/>
  <c r="BG271" i="21"/>
  <c r="U223" i="21"/>
  <c r="V223" i="21" s="1"/>
  <c r="AO223" i="21"/>
  <c r="AP223" i="21" s="1"/>
  <c r="AL224" i="21" s="1"/>
  <c r="BQ215" i="21"/>
  <c r="BR215" i="21" s="1"/>
  <c r="BM214" i="21"/>
  <c r="BE250" i="21"/>
  <c r="BA251" i="21" s="1"/>
  <c r="AV257" i="21"/>
  <c r="M254" i="19"/>
  <c r="O254" i="19" s="1"/>
  <c r="J255" i="19" s="1"/>
  <c r="U251" i="19"/>
  <c r="AD214" i="21" l="1"/>
  <c r="AH227" i="21"/>
  <c r="AJ227" i="21"/>
  <c r="AI227" i="21"/>
  <c r="AK227" i="21" s="1"/>
  <c r="AG228" i="21" s="1"/>
  <c r="AE214" i="21"/>
  <c r="AF214" i="21" s="1"/>
  <c r="Q220" i="21"/>
  <c r="M221" i="21" s="1"/>
  <c r="BI272" i="21"/>
  <c r="BH272" i="21"/>
  <c r="BJ272" i="21"/>
  <c r="BF273" i="21" s="1"/>
  <c r="BG272" i="21"/>
  <c r="AM224" i="21"/>
  <c r="AN224" i="21" s="1"/>
  <c r="R224" i="21"/>
  <c r="BN214" i="21"/>
  <c r="BO214" i="21" s="1"/>
  <c r="AX257" i="21"/>
  <c r="AY257" i="21"/>
  <c r="AW257" i="21"/>
  <c r="BB251" i="21"/>
  <c r="BC251" i="21"/>
  <c r="BD251" i="21"/>
  <c r="N254" i="19"/>
  <c r="K255" i="19"/>
  <c r="V251" i="19"/>
  <c r="W251" i="19" s="1"/>
  <c r="P221" i="21" l="1"/>
  <c r="N221" i="21"/>
  <c r="O221" i="21"/>
  <c r="Q221" i="21"/>
  <c r="M222" i="21" s="1"/>
  <c r="AI228" i="21"/>
  <c r="AJ228" i="21"/>
  <c r="AH228" i="21"/>
  <c r="AB215" i="21"/>
  <c r="K215" i="21"/>
  <c r="BG273" i="21"/>
  <c r="BH273" i="21"/>
  <c r="BI273" i="21"/>
  <c r="BJ273" i="21"/>
  <c r="BF274" i="21" s="1"/>
  <c r="BE251" i="21"/>
  <c r="BA252" i="21" s="1"/>
  <c r="S224" i="21"/>
  <c r="U224" i="21"/>
  <c r="T224" i="21"/>
  <c r="BK215" i="21"/>
  <c r="AT215" i="21"/>
  <c r="AZ257" i="21"/>
  <c r="AV258" i="21" s="1"/>
  <c r="X251" i="19"/>
  <c r="S252" i="19" s="1"/>
  <c r="P255" i="19"/>
  <c r="L255" i="19"/>
  <c r="V224" i="21" l="1"/>
  <c r="AK228" i="21"/>
  <c r="AG229" i="21" s="1"/>
  <c r="O222" i="21"/>
  <c r="N222" i="21"/>
  <c r="P222" i="21"/>
  <c r="Q222" i="21"/>
  <c r="M223" i="21" s="1"/>
  <c r="AC215" i="21"/>
  <c r="AR215" i="21" s="1"/>
  <c r="AD215" i="21"/>
  <c r="AE215" i="21" s="1"/>
  <c r="AF215" i="21" s="1"/>
  <c r="AQ215" i="21"/>
  <c r="L215" i="21"/>
  <c r="BG274" i="21"/>
  <c r="BH274" i="21"/>
  <c r="BI274" i="21"/>
  <c r="R225" i="21"/>
  <c r="AO224" i="21"/>
  <c r="AP224" i="21" s="1"/>
  <c r="AL225" i="21" s="1"/>
  <c r="BZ215" i="21"/>
  <c r="AU215" i="21"/>
  <c r="BL215" i="21"/>
  <c r="CA215" i="21" s="1"/>
  <c r="BS215" i="21"/>
  <c r="BT215" i="21" s="1"/>
  <c r="BP216" i="21" s="1"/>
  <c r="AX258" i="21"/>
  <c r="AW258" i="21"/>
  <c r="AY258" i="21"/>
  <c r="BD252" i="21"/>
  <c r="BB252" i="21"/>
  <c r="BC252" i="21"/>
  <c r="M255" i="19"/>
  <c r="O255" i="19" s="1"/>
  <c r="J256" i="19" s="1"/>
  <c r="T252" i="19"/>
  <c r="U252" i="19" s="1"/>
  <c r="AB216" i="21" l="1"/>
  <c r="K216" i="21"/>
  <c r="P223" i="21"/>
  <c r="O223" i="21"/>
  <c r="N223" i="21"/>
  <c r="Q223" i="21"/>
  <c r="M224" i="21" s="1"/>
  <c r="AK229" i="21"/>
  <c r="AG230" i="21" s="1"/>
  <c r="AH229" i="21"/>
  <c r="AJ229" i="21"/>
  <c r="AI229" i="21"/>
  <c r="BJ274" i="21"/>
  <c r="BF275" i="21" s="1"/>
  <c r="AZ258" i="21"/>
  <c r="AV259" i="21" s="1"/>
  <c r="AM225" i="21"/>
  <c r="AN225" i="21"/>
  <c r="S225" i="21"/>
  <c r="T225" i="21"/>
  <c r="U225" i="21"/>
  <c r="BQ216" i="21"/>
  <c r="BR216" i="21" s="1"/>
  <c r="BM215" i="21"/>
  <c r="BE252" i="21"/>
  <c r="BA253" i="21" s="1"/>
  <c r="N255" i="19"/>
  <c r="V252" i="19"/>
  <c r="X252" i="19" s="1"/>
  <c r="S253" i="19" s="1"/>
  <c r="W252" i="19"/>
  <c r="Y252" i="19"/>
  <c r="K256" i="19"/>
  <c r="N224" i="21" l="1"/>
  <c r="O224" i="21"/>
  <c r="P224" i="21"/>
  <c r="AJ230" i="21"/>
  <c r="AI230" i="21"/>
  <c r="AH230" i="21"/>
  <c r="AK230" i="21"/>
  <c r="AG231" i="21" s="1"/>
  <c r="L216" i="21"/>
  <c r="AQ216" i="21"/>
  <c r="AC216" i="21"/>
  <c r="AR216" i="21" s="1"/>
  <c r="BG275" i="21"/>
  <c r="BH275" i="21"/>
  <c r="BI275" i="21"/>
  <c r="BJ275" i="21" s="1"/>
  <c r="BF276" i="21" s="1"/>
  <c r="V225" i="21"/>
  <c r="R226" i="21" s="1"/>
  <c r="BN215" i="21"/>
  <c r="BO215" i="21" s="1"/>
  <c r="AW259" i="21"/>
  <c r="AY259" i="21"/>
  <c r="AX259" i="21"/>
  <c r="BB253" i="21"/>
  <c r="BD253" i="21"/>
  <c r="BC253" i="21"/>
  <c r="T253" i="19"/>
  <c r="P256" i="19"/>
  <c r="Y253" i="19"/>
  <c r="L256" i="19"/>
  <c r="AD216" i="21" l="1"/>
  <c r="AE216" i="21" s="1"/>
  <c r="AF216" i="21" s="1"/>
  <c r="Q224" i="21"/>
  <c r="M225" i="21" s="1"/>
  <c r="AH231" i="21"/>
  <c r="AI231" i="21"/>
  <c r="AJ231" i="21"/>
  <c r="AK231" i="21"/>
  <c r="AG232" i="21" s="1"/>
  <c r="K217" i="21"/>
  <c r="AB217" i="21"/>
  <c r="AC217" i="21" s="1"/>
  <c r="AR217" i="21" s="1"/>
  <c r="N225" i="21"/>
  <c r="P225" i="21"/>
  <c r="O225" i="21"/>
  <c r="BI276" i="21"/>
  <c r="BH276" i="21"/>
  <c r="BJ276" i="21"/>
  <c r="BF277" i="21" s="1"/>
  <c r="BG276" i="21"/>
  <c r="S226" i="21"/>
  <c r="T226" i="21"/>
  <c r="AT216" i="21"/>
  <c r="BK216" i="21"/>
  <c r="BE253" i="21"/>
  <c r="BA254" i="21" s="1"/>
  <c r="AZ259" i="21"/>
  <c r="AV260" i="21" s="1"/>
  <c r="M256" i="19"/>
  <c r="O256" i="19" s="1"/>
  <c r="J257" i="19" s="1"/>
  <c r="U253" i="19"/>
  <c r="Q225" i="21" l="1"/>
  <c r="M226" i="21" s="1"/>
  <c r="AQ217" i="21"/>
  <c r="L217" i="21"/>
  <c r="AD217" i="21"/>
  <c r="AE217" i="21" s="1"/>
  <c r="AF217" i="21" s="1"/>
  <c r="N226" i="21"/>
  <c r="P226" i="21"/>
  <c r="O226" i="21"/>
  <c r="Q226" i="21"/>
  <c r="M227" i="21" s="1"/>
  <c r="AJ232" i="21"/>
  <c r="AH232" i="21"/>
  <c r="AI232" i="21"/>
  <c r="AK232" i="21" s="1"/>
  <c r="AG233" i="21" s="1"/>
  <c r="BH277" i="21"/>
  <c r="BI277" i="21"/>
  <c r="BG277" i="21"/>
  <c r="BJ277" i="21"/>
  <c r="BF278" i="21" s="1"/>
  <c r="BL216" i="21"/>
  <c r="CA216" i="21" s="1"/>
  <c r="BS216" i="21"/>
  <c r="BT216" i="21" s="1"/>
  <c r="BP217" i="21" s="1"/>
  <c r="AU216" i="21"/>
  <c r="BZ216" i="21"/>
  <c r="AW260" i="21"/>
  <c r="AY260" i="21"/>
  <c r="AX260" i="21"/>
  <c r="BB254" i="21"/>
  <c r="BC254" i="21"/>
  <c r="BD254" i="21"/>
  <c r="N256" i="19"/>
  <c r="K257" i="19"/>
  <c r="V253" i="19"/>
  <c r="X253" i="19" s="1"/>
  <c r="S254" i="19" s="1"/>
  <c r="AJ233" i="21" l="1"/>
  <c r="AI233" i="21"/>
  <c r="AK233" i="21" s="1"/>
  <c r="AG234" i="21" s="1"/>
  <c r="AH233" i="21"/>
  <c r="AB218" i="21"/>
  <c r="K218" i="21"/>
  <c r="AQ218" i="21" s="1"/>
  <c r="P227" i="21"/>
  <c r="O227" i="21"/>
  <c r="Q227" i="21" s="1"/>
  <c r="M228" i="21" s="1"/>
  <c r="N227" i="21"/>
  <c r="BG278" i="21"/>
  <c r="BI278" i="21"/>
  <c r="BH278" i="21"/>
  <c r="BJ278" i="21" s="1"/>
  <c r="BF279" i="21" s="1"/>
  <c r="AC218" i="21"/>
  <c r="AR218" i="21" s="1"/>
  <c r="BQ217" i="21"/>
  <c r="BR217" i="21" s="1"/>
  <c r="BM216" i="21"/>
  <c r="AZ260" i="21"/>
  <c r="AV261" i="21" s="1"/>
  <c r="BE254" i="21"/>
  <c r="W253" i="19"/>
  <c r="T254" i="19"/>
  <c r="P257" i="19"/>
  <c r="L257" i="19"/>
  <c r="L218" i="21" l="1"/>
  <c r="O228" i="21"/>
  <c r="P228" i="21"/>
  <c r="N228" i="21"/>
  <c r="AH234" i="21"/>
  <c r="AI234" i="21"/>
  <c r="AJ234" i="21"/>
  <c r="AK234" i="21" s="1"/>
  <c r="AG235" i="21" s="1"/>
  <c r="BG279" i="21"/>
  <c r="BH279" i="21"/>
  <c r="BI279" i="21"/>
  <c r="BJ279" i="21"/>
  <c r="BF280" i="21" s="1"/>
  <c r="AD218" i="21"/>
  <c r="AE218" i="21" s="1"/>
  <c r="AF218" i="21" s="1"/>
  <c r="BN216" i="21"/>
  <c r="BO216" i="21" s="1"/>
  <c r="BA255" i="21"/>
  <c r="AX261" i="21"/>
  <c r="AW261" i="21"/>
  <c r="AY261" i="21"/>
  <c r="Y254" i="19"/>
  <c r="M257" i="19"/>
  <c r="O257" i="19" s="1"/>
  <c r="J258" i="19" s="1"/>
  <c r="U254" i="19"/>
  <c r="AH235" i="21" l="1"/>
  <c r="AI235" i="21"/>
  <c r="AJ235" i="21"/>
  <c r="AK235" i="21" s="1"/>
  <c r="AG236" i="21" s="1"/>
  <c r="Q228" i="21"/>
  <c r="M229" i="21" s="1"/>
  <c r="BG280" i="21"/>
  <c r="BH280" i="21"/>
  <c r="BI280" i="21"/>
  <c r="BJ280" i="21" s="1"/>
  <c r="BF281" i="21" s="1"/>
  <c r="AB219" i="21"/>
  <c r="AC219" i="21" s="1"/>
  <c r="K219" i="21"/>
  <c r="AT217" i="21"/>
  <c r="BK217" i="21"/>
  <c r="AZ261" i="21"/>
  <c r="BD255" i="21"/>
  <c r="BC255" i="21"/>
  <c r="BB255" i="21"/>
  <c r="N257" i="19"/>
  <c r="K258" i="19"/>
  <c r="V254" i="19"/>
  <c r="X254" i="19" s="1"/>
  <c r="S255" i="19" s="1"/>
  <c r="O229" i="21" l="1"/>
  <c r="P229" i="21"/>
  <c r="N229" i="21"/>
  <c r="Q229" i="21"/>
  <c r="M230" i="21" s="1"/>
  <c r="AH236" i="21"/>
  <c r="AI236" i="21"/>
  <c r="AJ236" i="21"/>
  <c r="AK236" i="21"/>
  <c r="AG237" i="21" s="1"/>
  <c r="BG281" i="21"/>
  <c r="BI281" i="21"/>
  <c r="BH281" i="21"/>
  <c r="L219" i="21"/>
  <c r="AQ219" i="21"/>
  <c r="AE219" i="21" s="1"/>
  <c r="AF219" i="21" s="1"/>
  <c r="AD219" i="21"/>
  <c r="AR219" i="21"/>
  <c r="BL217" i="21"/>
  <c r="CA217" i="21" s="1"/>
  <c r="BS217" i="21"/>
  <c r="BT217" i="21" s="1"/>
  <c r="BP218" i="21" s="1"/>
  <c r="BZ217" i="21"/>
  <c r="AU217" i="21"/>
  <c r="BE255" i="21"/>
  <c r="BA256" i="21" s="1"/>
  <c r="AV262" i="21"/>
  <c r="T255" i="19"/>
  <c r="W254" i="19"/>
  <c r="P258" i="19"/>
  <c r="L258" i="19"/>
  <c r="AI237" i="21" l="1"/>
  <c r="AJ237" i="21"/>
  <c r="AH237" i="21"/>
  <c r="AK237" i="21"/>
  <c r="AG238" i="21" s="1"/>
  <c r="N230" i="21"/>
  <c r="O230" i="21"/>
  <c r="P230" i="21"/>
  <c r="BJ281" i="21"/>
  <c r="BF282" i="21" s="1"/>
  <c r="AB220" i="21"/>
  <c r="K220" i="21"/>
  <c r="BM217" i="21"/>
  <c r="BN217" i="21" s="1"/>
  <c r="BO217" i="21" s="1"/>
  <c r="BK218" i="21" s="1"/>
  <c r="BS218" i="21" s="1"/>
  <c r="BQ218" i="21"/>
  <c r="BR218" i="21" s="1"/>
  <c r="AY262" i="21"/>
  <c r="AW262" i="21"/>
  <c r="AX262" i="21"/>
  <c r="BC256" i="21"/>
  <c r="BB256" i="21"/>
  <c r="BD256" i="21"/>
  <c r="M258" i="19"/>
  <c r="N258" i="19" s="1"/>
  <c r="Y255" i="19"/>
  <c r="U255" i="19"/>
  <c r="Q230" i="21" l="1"/>
  <c r="M231" i="21" s="1"/>
  <c r="AI238" i="21"/>
  <c r="AH238" i="21"/>
  <c r="AJ238" i="21"/>
  <c r="AK238" i="21"/>
  <c r="AG239" i="21" s="1"/>
  <c r="BH282" i="21"/>
  <c r="BI282" i="21"/>
  <c r="BJ282" i="21"/>
  <c r="BF283" i="21" s="1"/>
  <c r="BG282" i="21"/>
  <c r="AC220" i="21"/>
  <c r="AR220" i="21" s="1"/>
  <c r="AQ220" i="21"/>
  <c r="L220" i="21"/>
  <c r="AT218" i="21"/>
  <c r="AU218" i="21" s="1"/>
  <c r="AZ262" i="21"/>
  <c r="AV263" i="21" s="1"/>
  <c r="BT218" i="21"/>
  <c r="BP219" i="21" s="1"/>
  <c r="BQ219" i="21" s="1"/>
  <c r="BR219" i="21" s="1"/>
  <c r="BL218" i="21"/>
  <c r="CA218" i="21" s="1"/>
  <c r="BE256" i="21"/>
  <c r="V255" i="19"/>
  <c r="X255" i="19"/>
  <c r="S256" i="19" s="1"/>
  <c r="W255" i="19"/>
  <c r="O258" i="19"/>
  <c r="J259" i="19" s="1"/>
  <c r="AH239" i="21" l="1"/>
  <c r="AJ239" i="21"/>
  <c r="AI239" i="21"/>
  <c r="O231" i="21"/>
  <c r="N231" i="21"/>
  <c r="P231" i="21"/>
  <c r="Q231" i="21"/>
  <c r="M232" i="21" s="1"/>
  <c r="BI283" i="21"/>
  <c r="BG283" i="21"/>
  <c r="BH283" i="21"/>
  <c r="BJ283" i="21"/>
  <c r="BF284" i="21" s="1"/>
  <c r="AD220" i="21"/>
  <c r="AE220" i="21" s="1"/>
  <c r="AF220" i="21" s="1"/>
  <c r="BM218" i="21"/>
  <c r="BZ218" i="21"/>
  <c r="AY263" i="21"/>
  <c r="AW263" i="21"/>
  <c r="AX263" i="21"/>
  <c r="BA257" i="21"/>
  <c r="K259" i="19"/>
  <c r="T256" i="19"/>
  <c r="U256" i="19" s="1"/>
  <c r="O232" i="21" l="1"/>
  <c r="N232" i="21"/>
  <c r="P232" i="21"/>
  <c r="Q232" i="21" s="1"/>
  <c r="M233" i="21" s="1"/>
  <c r="AK239" i="21"/>
  <c r="AG240" i="21" s="1"/>
  <c r="BH284" i="21"/>
  <c r="BG284" i="21"/>
  <c r="BI284" i="21"/>
  <c r="BJ284" i="21" s="1"/>
  <c r="BF285" i="21" s="1"/>
  <c r="K221" i="21"/>
  <c r="AB221" i="21"/>
  <c r="BN218" i="21"/>
  <c r="BO218" i="21" s="1"/>
  <c r="BK219" i="21" s="1"/>
  <c r="AZ263" i="21"/>
  <c r="AV264" i="21" s="1"/>
  <c r="BB257" i="21"/>
  <c r="BC257" i="21"/>
  <c r="BD257" i="21"/>
  <c r="Y256" i="19"/>
  <c r="V256" i="19"/>
  <c r="X256" i="19" s="1"/>
  <c r="S257" i="19" s="1"/>
  <c r="P259" i="19"/>
  <c r="L259" i="19"/>
  <c r="AI240" i="21" l="1"/>
  <c r="AH240" i="21"/>
  <c r="AJ240" i="21"/>
  <c r="AK240" i="21" s="1"/>
  <c r="AG241" i="21" s="1"/>
  <c r="O233" i="21"/>
  <c r="P233" i="21"/>
  <c r="N233" i="21"/>
  <c r="BI285" i="21"/>
  <c r="BH285" i="21"/>
  <c r="BG285" i="21"/>
  <c r="AT219" i="21"/>
  <c r="BZ219" i="21" s="1"/>
  <c r="BS219" i="21" s="1"/>
  <c r="BT219" i="21" s="1"/>
  <c r="BP220" i="21" s="1"/>
  <c r="AC221" i="21"/>
  <c r="AR221" i="21" s="1"/>
  <c r="AQ221" i="21"/>
  <c r="L221" i="21"/>
  <c r="BL219" i="21"/>
  <c r="CA219" i="21" s="1"/>
  <c r="BE257" i="21"/>
  <c r="BA258" i="21" s="1"/>
  <c r="AX264" i="21"/>
  <c r="AY264" i="21"/>
  <c r="AZ264" i="21" s="1"/>
  <c r="AW264" i="21"/>
  <c r="T257" i="19"/>
  <c r="M259" i="19"/>
  <c r="N259" i="19" s="1"/>
  <c r="W256" i="19"/>
  <c r="Q233" i="21" l="1"/>
  <c r="M234" i="21" s="1"/>
  <c r="AJ241" i="21"/>
  <c r="AI241" i="21"/>
  <c r="AK241" i="21" s="1"/>
  <c r="AG242" i="21" s="1"/>
  <c r="AH241" i="21"/>
  <c r="BJ285" i="21"/>
  <c r="BF286" i="21" s="1"/>
  <c r="BJ286" i="21" s="1"/>
  <c r="BF287" i="21" s="1"/>
  <c r="BH286" i="21"/>
  <c r="BG286" i="21"/>
  <c r="BI286" i="21"/>
  <c r="AD221" i="21"/>
  <c r="AE221" i="21" s="1"/>
  <c r="AF221" i="21" s="1"/>
  <c r="AU219" i="21"/>
  <c r="BM219" i="21"/>
  <c r="BQ220" i="21"/>
  <c r="BR220" i="21" s="1"/>
  <c r="AV265" i="21"/>
  <c r="BB258" i="21"/>
  <c r="BD258" i="21"/>
  <c r="BC258" i="21"/>
  <c r="O259" i="19"/>
  <c r="J260" i="19" s="1"/>
  <c r="U257" i="19"/>
  <c r="Y257" i="19"/>
  <c r="AI242" i="21" l="1"/>
  <c r="AH242" i="21"/>
  <c r="AJ242" i="21"/>
  <c r="AK242" i="21"/>
  <c r="AG243" i="21" s="1"/>
  <c r="P234" i="21"/>
  <c r="O234" i="21"/>
  <c r="N234" i="21"/>
  <c r="BG287" i="21"/>
  <c r="BI287" i="21"/>
  <c r="BH287" i="21"/>
  <c r="AB222" i="21"/>
  <c r="K222" i="21"/>
  <c r="BN219" i="21"/>
  <c r="BO219" i="21" s="1"/>
  <c r="BE258" i="21"/>
  <c r="BA259" i="21" s="1"/>
  <c r="AW265" i="21"/>
  <c r="AX265" i="21"/>
  <c r="AY265" i="21"/>
  <c r="V257" i="19"/>
  <c r="X257" i="19" s="1"/>
  <c r="S258" i="19" s="1"/>
  <c r="K260" i="19"/>
  <c r="Q234" i="21" l="1"/>
  <c r="M235" i="21" s="1"/>
  <c r="P235" i="21"/>
  <c r="O235" i="21"/>
  <c r="N235" i="21"/>
  <c r="AI243" i="21"/>
  <c r="AJ243" i="21"/>
  <c r="AK243" i="21" s="1"/>
  <c r="AG244" i="21" s="1"/>
  <c r="AH243" i="21"/>
  <c r="Q235" i="21"/>
  <c r="M236" i="21" s="1"/>
  <c r="BJ287" i="21"/>
  <c r="BF288" i="21" s="1"/>
  <c r="AQ222" i="21"/>
  <c r="L222" i="21"/>
  <c r="AC222" i="21"/>
  <c r="AR222" i="21" s="1"/>
  <c r="BK220" i="21"/>
  <c r="AT220" i="21"/>
  <c r="AZ265" i="21"/>
  <c r="BD259" i="21"/>
  <c r="BB259" i="21"/>
  <c r="BC259" i="21"/>
  <c r="W257" i="19"/>
  <c r="P260" i="19"/>
  <c r="L260" i="19"/>
  <c r="T258" i="19"/>
  <c r="N236" i="21" l="1"/>
  <c r="P236" i="21"/>
  <c r="O236" i="21"/>
  <c r="AH244" i="21"/>
  <c r="AI244" i="21"/>
  <c r="AJ244" i="21"/>
  <c r="AD222" i="21"/>
  <c r="AE222" i="21" s="1"/>
  <c r="AF222" i="21" s="1"/>
  <c r="BI288" i="21"/>
  <c r="BG288" i="21"/>
  <c r="BH288" i="21"/>
  <c r="BJ288" i="21" s="1"/>
  <c r="BF289" i="21" s="1"/>
  <c r="BZ220" i="21"/>
  <c r="AU220" i="21"/>
  <c r="BL220" i="21"/>
  <c r="CA220" i="21" s="1"/>
  <c r="BS220" i="21"/>
  <c r="BT220" i="21" s="1"/>
  <c r="BP221" i="21" s="1"/>
  <c r="BE259" i="21"/>
  <c r="BA260" i="21" s="1"/>
  <c r="AV266" i="21"/>
  <c r="Y258" i="19"/>
  <c r="U258" i="19"/>
  <c r="M260" i="19"/>
  <c r="O260" i="19" s="1"/>
  <c r="J261" i="19" s="1"/>
  <c r="AK244" i="21" l="1"/>
  <c r="AG245" i="21" s="1"/>
  <c r="Q236" i="21"/>
  <c r="M237" i="21" s="1"/>
  <c r="AH245" i="21"/>
  <c r="AJ245" i="21"/>
  <c r="AI245" i="21"/>
  <c r="AK245" i="21" s="1"/>
  <c r="AG246" i="21" s="1"/>
  <c r="BI289" i="21"/>
  <c r="BH289" i="21"/>
  <c r="BJ289" i="21" s="1"/>
  <c r="BF290" i="21" s="1"/>
  <c r="BG289" i="21"/>
  <c r="K223" i="21"/>
  <c r="AB223" i="21"/>
  <c r="BQ221" i="21"/>
  <c r="BR221" i="21" s="1"/>
  <c r="BM220" i="21"/>
  <c r="AW266" i="21"/>
  <c r="AX266" i="21"/>
  <c r="AY266" i="21"/>
  <c r="BB260" i="21"/>
  <c r="BC260" i="21"/>
  <c r="BD260" i="21"/>
  <c r="N260" i="19"/>
  <c r="K261" i="19"/>
  <c r="V258" i="19"/>
  <c r="X258" i="19" s="1"/>
  <c r="S259" i="19" s="1"/>
  <c r="AH246" i="21" l="1"/>
  <c r="AJ246" i="21"/>
  <c r="AI246" i="21"/>
  <c r="AK246" i="21"/>
  <c r="AG247" i="21" s="1"/>
  <c r="P237" i="21"/>
  <c r="O237" i="21"/>
  <c r="N237" i="21"/>
  <c r="Q237" i="21"/>
  <c r="M238" i="21" s="1"/>
  <c r="BI290" i="21"/>
  <c r="BG290" i="21"/>
  <c r="BH290" i="21"/>
  <c r="BJ290" i="21" s="1"/>
  <c r="BF291" i="21" s="1"/>
  <c r="AC223" i="21"/>
  <c r="AR223" i="21" s="1"/>
  <c r="AQ223" i="21"/>
  <c r="L223" i="21"/>
  <c r="BN220" i="21"/>
  <c r="BO220" i="21" s="1"/>
  <c r="AZ266" i="21"/>
  <c r="AV267" i="21" s="1"/>
  <c r="BE260" i="21"/>
  <c r="T259" i="19"/>
  <c r="W258" i="19"/>
  <c r="P261" i="19"/>
  <c r="L261" i="19"/>
  <c r="AI247" i="21" l="1"/>
  <c r="AJ247" i="21"/>
  <c r="AH247" i="21"/>
  <c r="AK247" i="21"/>
  <c r="AG248" i="21" s="1"/>
  <c r="O238" i="21"/>
  <c r="N238" i="21"/>
  <c r="P238" i="21"/>
  <c r="Q238" i="21" s="1"/>
  <c r="M239" i="21" s="1"/>
  <c r="AD223" i="21"/>
  <c r="AE223" i="21" s="1"/>
  <c r="AF223" i="21" s="1"/>
  <c r="K224" i="21" s="1"/>
  <c r="BH291" i="21"/>
  <c r="BG291" i="21"/>
  <c r="BI291" i="21"/>
  <c r="BJ291" i="21"/>
  <c r="BF292" i="21" s="1"/>
  <c r="BK221" i="21"/>
  <c r="AT221" i="21"/>
  <c r="AY267" i="21"/>
  <c r="AX267" i="21"/>
  <c r="AW267" i="21"/>
  <c r="BA261" i="21"/>
  <c r="M261" i="19"/>
  <c r="N261" i="19" s="1"/>
  <c r="Y259" i="19"/>
  <c r="U259" i="19"/>
  <c r="P239" i="21" l="1"/>
  <c r="O239" i="21"/>
  <c r="N239" i="21"/>
  <c r="Q239" i="21"/>
  <c r="M240" i="21" s="1"/>
  <c r="AH248" i="21"/>
  <c r="AJ248" i="21"/>
  <c r="AI248" i="21"/>
  <c r="AK248" i="21" s="1"/>
  <c r="AG249" i="21" s="1"/>
  <c r="AB224" i="21"/>
  <c r="AC224" i="21" s="1"/>
  <c r="AR224" i="21" s="1"/>
  <c r="BG292" i="21"/>
  <c r="BI292" i="21"/>
  <c r="BH292" i="21"/>
  <c r="BJ292" i="21"/>
  <c r="BF293" i="21" s="1"/>
  <c r="L224" i="21"/>
  <c r="AQ224" i="21"/>
  <c r="BZ221" i="21"/>
  <c r="AU221" i="21"/>
  <c r="BL221" i="21"/>
  <c r="CA221" i="21" s="1"/>
  <c r="BS221" i="21"/>
  <c r="BT221" i="21" s="1"/>
  <c r="BP222" i="21" s="1"/>
  <c r="AZ267" i="21"/>
  <c r="AV268" i="21" s="1"/>
  <c r="BC261" i="21"/>
  <c r="BD261" i="21"/>
  <c r="BB261" i="21"/>
  <c r="O261" i="19"/>
  <c r="J262" i="19" s="1"/>
  <c r="K262" i="19" s="1"/>
  <c r="V259" i="19"/>
  <c r="X259" i="19" s="1"/>
  <c r="S260" i="19" s="1"/>
  <c r="AJ249" i="21" l="1"/>
  <c r="AI249" i="21"/>
  <c r="AH249" i="21"/>
  <c r="AK249" i="21"/>
  <c r="AG250" i="21" s="1"/>
  <c r="O240" i="21"/>
  <c r="N240" i="21"/>
  <c r="P240" i="21"/>
  <c r="Q240" i="21" s="1"/>
  <c r="M241" i="21" s="1"/>
  <c r="AD224" i="21"/>
  <c r="AE224" i="21" s="1"/>
  <c r="AF224" i="21" s="1"/>
  <c r="BI293" i="21"/>
  <c r="BH293" i="21"/>
  <c r="BJ293" i="21" s="1"/>
  <c r="BF294" i="21" s="1"/>
  <c r="BG293" i="21"/>
  <c r="BQ222" i="21"/>
  <c r="BR222" i="21" s="1"/>
  <c r="BM221" i="21"/>
  <c r="BE261" i="21"/>
  <c r="BA262" i="21" s="1"/>
  <c r="AY268" i="21"/>
  <c r="AW268" i="21"/>
  <c r="AX268" i="21"/>
  <c r="W259" i="19"/>
  <c r="P262" i="19"/>
  <c r="L262" i="19"/>
  <c r="T260" i="19"/>
  <c r="N241" i="21" l="1"/>
  <c r="O241" i="21"/>
  <c r="P241" i="21"/>
  <c r="AI250" i="21"/>
  <c r="AJ250" i="21"/>
  <c r="AH250" i="21"/>
  <c r="K225" i="21"/>
  <c r="L225" i="21" s="1"/>
  <c r="AB225" i="21"/>
  <c r="AC225" i="21" s="1"/>
  <c r="AR225" i="21" s="1"/>
  <c r="BI294" i="21"/>
  <c r="BG294" i="21"/>
  <c r="BH294" i="21"/>
  <c r="BN221" i="21"/>
  <c r="BO221" i="21" s="1"/>
  <c r="AZ268" i="21"/>
  <c r="BC262" i="21"/>
  <c r="BD262" i="21"/>
  <c r="BB262" i="21"/>
  <c r="Y260" i="19"/>
  <c r="U260" i="19"/>
  <c r="M262" i="19"/>
  <c r="O262" i="19" s="1"/>
  <c r="J263" i="19" s="1"/>
  <c r="Q241" i="21" l="1"/>
  <c r="M242" i="21" s="1"/>
  <c r="O242" i="21"/>
  <c r="P242" i="21"/>
  <c r="Q242" i="21" s="1"/>
  <c r="M243" i="21" s="1"/>
  <c r="N242" i="21"/>
  <c r="AK250" i="21"/>
  <c r="AG251" i="21" s="1"/>
  <c r="AQ225" i="21"/>
  <c r="AO225" i="21" s="1"/>
  <c r="AP225" i="21" s="1"/>
  <c r="AL226" i="21" s="1"/>
  <c r="AM226" i="21" s="1"/>
  <c r="AN226" i="21" s="1"/>
  <c r="AO226" i="21" s="1"/>
  <c r="AP226" i="21" s="1"/>
  <c r="AL227" i="21" s="1"/>
  <c r="AM227" i="21" s="1"/>
  <c r="AD225" i="21"/>
  <c r="BJ294" i="21"/>
  <c r="BF295" i="21" s="1"/>
  <c r="AT222" i="21"/>
  <c r="BK222" i="21"/>
  <c r="BE262" i="21"/>
  <c r="AV269" i="21"/>
  <c r="N262" i="19"/>
  <c r="K263" i="19"/>
  <c r="V260" i="19"/>
  <c r="X260" i="19" s="1"/>
  <c r="S261" i="19" s="1"/>
  <c r="AH251" i="21" l="1"/>
  <c r="AI251" i="21"/>
  <c r="AJ251" i="21"/>
  <c r="AO227" i="21"/>
  <c r="AN227" i="21"/>
  <c r="AP227" i="21" s="1"/>
  <c r="AL228" i="21" s="1"/>
  <c r="N243" i="21"/>
  <c r="O243" i="21"/>
  <c r="P243" i="21"/>
  <c r="AE225" i="21"/>
  <c r="AF225" i="21" s="1"/>
  <c r="BG295" i="21"/>
  <c r="BH295" i="21"/>
  <c r="BJ295" i="21" s="1"/>
  <c r="BF296" i="21" s="1"/>
  <c r="BI295" i="21"/>
  <c r="AB226" i="21"/>
  <c r="K226" i="21"/>
  <c r="BZ222" i="21"/>
  <c r="BS222" i="21" s="1"/>
  <c r="BT222" i="21" s="1"/>
  <c r="BP223" i="21" s="1"/>
  <c r="AU222" i="21"/>
  <c r="BL222" i="21"/>
  <c r="CA222" i="21" s="1"/>
  <c r="AW269" i="21"/>
  <c r="AX269" i="21"/>
  <c r="AY269" i="21"/>
  <c r="BA263" i="21"/>
  <c r="W260" i="19"/>
  <c r="T261" i="19"/>
  <c r="P263" i="19"/>
  <c r="L263" i="19"/>
  <c r="AK251" i="21" l="1"/>
  <c r="AG252" i="21" s="1"/>
  <c r="Q243" i="21"/>
  <c r="M244" i="21" s="1"/>
  <c r="BI296" i="21"/>
  <c r="BG296" i="21"/>
  <c r="BH296" i="21"/>
  <c r="AM228" i="21"/>
  <c r="AN228" i="21" s="1"/>
  <c r="AO228" i="21"/>
  <c r="AC226" i="21"/>
  <c r="AR226" i="21" s="1"/>
  <c r="AQ226" i="21"/>
  <c r="U226" i="21" s="1"/>
  <c r="V226" i="21" s="1"/>
  <c r="L226" i="21"/>
  <c r="BQ223" i="21"/>
  <c r="BR223" i="21" s="1"/>
  <c r="BM222" i="21"/>
  <c r="AZ269" i="21"/>
  <c r="AV270" i="21" s="1"/>
  <c r="BC263" i="21"/>
  <c r="BB263" i="21"/>
  <c r="BD263" i="21"/>
  <c r="Y261" i="19"/>
  <c r="M263" i="19"/>
  <c r="O263" i="19" s="1"/>
  <c r="J264" i="19" s="1"/>
  <c r="U261" i="19"/>
  <c r="N244" i="21" l="1"/>
  <c r="P244" i="21"/>
  <c r="O244" i="21"/>
  <c r="Q244" i="21"/>
  <c r="M245" i="21" s="1"/>
  <c r="AI252" i="21"/>
  <c r="AH252" i="21"/>
  <c r="AJ252" i="21"/>
  <c r="AK252" i="21" s="1"/>
  <c r="AG253" i="21" s="1"/>
  <c r="AD226" i="21"/>
  <c r="AE226" i="21" s="1"/>
  <c r="AF226" i="21" s="1"/>
  <c r="AB227" i="21" s="1"/>
  <c r="AP228" i="21"/>
  <c r="AL229" i="21" s="1"/>
  <c r="AM229" i="21" s="1"/>
  <c r="AN229" i="21" s="1"/>
  <c r="BJ296" i="21"/>
  <c r="BF297" i="21" s="1"/>
  <c r="R227" i="21"/>
  <c r="BE263" i="21"/>
  <c r="BA264" i="21" s="1"/>
  <c r="BN222" i="21"/>
  <c r="BO222" i="21" s="1"/>
  <c r="AY270" i="21"/>
  <c r="AW270" i="21"/>
  <c r="AX270" i="21"/>
  <c r="N263" i="19"/>
  <c r="K264" i="19"/>
  <c r="V261" i="19"/>
  <c r="X261" i="19" s="1"/>
  <c r="S262" i="19" s="1"/>
  <c r="AJ253" i="21" l="1"/>
  <c r="AI253" i="21"/>
  <c r="AH253" i="21"/>
  <c r="AK253" i="21"/>
  <c r="AG254" i="21" s="1"/>
  <c r="N245" i="21"/>
  <c r="O245" i="21"/>
  <c r="P245" i="21"/>
  <c r="Q245" i="21" s="1"/>
  <c r="M246" i="21" s="1"/>
  <c r="BI297" i="21"/>
  <c r="BG297" i="21"/>
  <c r="BH297" i="21"/>
  <c r="BJ297" i="21"/>
  <c r="BF298" i="21" s="1"/>
  <c r="AO229" i="21"/>
  <c r="AP229" i="21" s="1"/>
  <c r="AL230" i="21" s="1"/>
  <c r="AM230" i="21" s="1"/>
  <c r="AN230" i="21" s="1"/>
  <c r="AC227" i="21"/>
  <c r="AD227" i="21" s="1"/>
  <c r="T227" i="21"/>
  <c r="S227" i="21"/>
  <c r="K227" i="21"/>
  <c r="BK223" i="21"/>
  <c r="AT223" i="21"/>
  <c r="AZ270" i="21"/>
  <c r="AV271" i="21" s="1"/>
  <c r="BB264" i="21"/>
  <c r="BD264" i="21"/>
  <c r="BC264" i="21"/>
  <c r="BE264" i="21" s="1"/>
  <c r="W261" i="19"/>
  <c r="T262" i="19"/>
  <c r="P264" i="19"/>
  <c r="L264" i="19"/>
  <c r="P246" i="21" l="1"/>
  <c r="O246" i="21"/>
  <c r="Q246" i="21" s="1"/>
  <c r="M247" i="21" s="1"/>
  <c r="N246" i="21"/>
  <c r="AJ254" i="21"/>
  <c r="AH254" i="21"/>
  <c r="AI254" i="21"/>
  <c r="AK254" i="21" s="1"/>
  <c r="AG255" i="21" s="1"/>
  <c r="AR227" i="21"/>
  <c r="BH298" i="21"/>
  <c r="BI298" i="21"/>
  <c r="BJ298" i="21" s="1"/>
  <c r="BF299" i="21" s="1"/>
  <c r="BG298" i="21"/>
  <c r="AQ227" i="21"/>
  <c r="U227" i="21" s="1"/>
  <c r="V227" i="21" s="1"/>
  <c r="L227" i="21"/>
  <c r="AU223" i="21"/>
  <c r="BZ223" i="21"/>
  <c r="BL223" i="21"/>
  <c r="CA223" i="21" s="1"/>
  <c r="BS223" i="21"/>
  <c r="BT223" i="21" s="1"/>
  <c r="BP224" i="21" s="1"/>
  <c r="BA265" i="21"/>
  <c r="AY271" i="21"/>
  <c r="AW271" i="21"/>
  <c r="AX271" i="21"/>
  <c r="M264" i="19"/>
  <c r="N264" i="19" s="1"/>
  <c r="Y262" i="19"/>
  <c r="U262" i="19"/>
  <c r="AJ255" i="21" l="1"/>
  <c r="AH255" i="21"/>
  <c r="AI255" i="21"/>
  <c r="AK255" i="21" s="1"/>
  <c r="AG256" i="21" s="1"/>
  <c r="N247" i="21"/>
  <c r="P247" i="21"/>
  <c r="O247" i="21"/>
  <c r="Q247" i="21" s="1"/>
  <c r="M248" i="21" s="1"/>
  <c r="BG299" i="21"/>
  <c r="BH299" i="21"/>
  <c r="BI299" i="21"/>
  <c r="BJ299" i="21" s="1"/>
  <c r="BF300" i="21" s="1"/>
  <c r="R228" i="21"/>
  <c r="AE227" i="21"/>
  <c r="AF227" i="21" s="1"/>
  <c r="AB228" i="21" s="1"/>
  <c r="BM223" i="21"/>
  <c r="BQ224" i="21"/>
  <c r="BR224" i="21" s="1"/>
  <c r="BD265" i="21"/>
  <c r="BC265" i="21"/>
  <c r="BB265" i="21"/>
  <c r="AZ271" i="21"/>
  <c r="O264" i="19"/>
  <c r="J265" i="19" s="1"/>
  <c r="K265" i="19" s="1"/>
  <c r="L265" i="19" s="1"/>
  <c r="M265" i="19" s="1"/>
  <c r="V262" i="19"/>
  <c r="W262" i="19" s="1"/>
  <c r="AH256" i="21" l="1"/>
  <c r="AI256" i="21"/>
  <c r="AJ256" i="21"/>
  <c r="P248" i="21"/>
  <c r="N248" i="21"/>
  <c r="O248" i="21"/>
  <c r="BI300" i="21"/>
  <c r="BJ300" i="21" s="1"/>
  <c r="BF301" i="21" s="1"/>
  <c r="BH300" i="21"/>
  <c r="BG300" i="21"/>
  <c r="K228" i="21"/>
  <c r="AQ228" i="21" s="1"/>
  <c r="BE265" i="21"/>
  <c r="BA266" i="21" s="1"/>
  <c r="AC228" i="21"/>
  <c r="AD228" i="21" s="1"/>
  <c r="T228" i="21"/>
  <c r="S228" i="21"/>
  <c r="AR228" i="21" s="1"/>
  <c r="BN223" i="21"/>
  <c r="BO223" i="21" s="1"/>
  <c r="AV272" i="21"/>
  <c r="X262" i="19"/>
  <c r="S263" i="19" s="1"/>
  <c r="T263" i="19" s="1"/>
  <c r="N265" i="19"/>
  <c r="P265" i="19"/>
  <c r="O265" i="19"/>
  <c r="J266" i="19" s="1"/>
  <c r="AK256" i="21" l="1"/>
  <c r="AG257" i="21" s="1"/>
  <c r="Q248" i="21"/>
  <c r="M249" i="21" s="1"/>
  <c r="BI301" i="21"/>
  <c r="BH301" i="21"/>
  <c r="BG301" i="21"/>
  <c r="BJ301" i="21"/>
  <c r="BF302" i="21" s="1"/>
  <c r="U228" i="21"/>
  <c r="V228" i="21" s="1"/>
  <c r="R229" i="21" s="1"/>
  <c r="AE228" i="21"/>
  <c r="AF228" i="21" s="1"/>
  <c r="AB229" i="21" s="1"/>
  <c r="AC229" i="21" s="1"/>
  <c r="AD229" i="21" s="1"/>
  <c r="L228" i="21"/>
  <c r="AT224" i="21"/>
  <c r="BK224" i="21"/>
  <c r="BC266" i="21"/>
  <c r="BD266" i="21"/>
  <c r="BB266" i="21"/>
  <c r="AW272" i="21"/>
  <c r="AX272" i="21"/>
  <c r="AY272" i="21"/>
  <c r="Y263" i="19"/>
  <c r="U263" i="19"/>
  <c r="K266" i="19"/>
  <c r="L266" i="19" s="1"/>
  <c r="P249" i="21" l="1"/>
  <c r="N249" i="21"/>
  <c r="O249" i="21"/>
  <c r="Q249" i="21"/>
  <c r="M250" i="21" s="1"/>
  <c r="AI257" i="21"/>
  <c r="AJ257" i="21"/>
  <c r="AH257" i="21"/>
  <c r="AK257" i="21"/>
  <c r="AG258" i="21" s="1"/>
  <c r="BG302" i="21"/>
  <c r="BI302" i="21"/>
  <c r="BH302" i="21"/>
  <c r="BJ302" i="21" s="1"/>
  <c r="K229" i="21"/>
  <c r="AQ229" i="21" s="1"/>
  <c r="U229" i="21" s="1"/>
  <c r="S229" i="21"/>
  <c r="AR229" i="21" s="1"/>
  <c r="T229" i="21"/>
  <c r="AU224" i="21"/>
  <c r="BZ224" i="21"/>
  <c r="BL224" i="21"/>
  <c r="CA224" i="21" s="1"/>
  <c r="BS224" i="21"/>
  <c r="BT224" i="21" s="1"/>
  <c r="BP225" i="21" s="1"/>
  <c r="AZ272" i="21"/>
  <c r="AV273" i="21" s="1"/>
  <c r="BE266" i="21"/>
  <c r="BA267" i="21" s="1"/>
  <c r="M266" i="19"/>
  <c r="O266" i="19" s="1"/>
  <c r="J267" i="19" s="1"/>
  <c r="P266" i="19"/>
  <c r="V263" i="19"/>
  <c r="X263" i="19" s="1"/>
  <c r="S264" i="19" s="1"/>
  <c r="N250" i="21" l="1"/>
  <c r="P250" i="21"/>
  <c r="O250" i="21"/>
  <c r="Q250" i="21" s="1"/>
  <c r="M251" i="21" s="1"/>
  <c r="AI258" i="21"/>
  <c r="AJ258" i="21"/>
  <c r="AK258" i="21" s="1"/>
  <c r="AG259" i="21" s="1"/>
  <c r="AH258" i="21"/>
  <c r="L229" i="21"/>
  <c r="AE229" i="21"/>
  <c r="AF229" i="21" s="1"/>
  <c r="AB230" i="21" s="1"/>
  <c r="AC230" i="21" s="1"/>
  <c r="AD230" i="21" s="1"/>
  <c r="V229" i="21"/>
  <c r="BQ225" i="21"/>
  <c r="BR225" i="21" s="1"/>
  <c r="BM224" i="21"/>
  <c r="BN224" i="21" s="1"/>
  <c r="BO224" i="21" s="1"/>
  <c r="AY273" i="21"/>
  <c r="AX273" i="21"/>
  <c r="AW273" i="21"/>
  <c r="BC267" i="21"/>
  <c r="BB267" i="21"/>
  <c r="BD267" i="21"/>
  <c r="W263" i="19"/>
  <c r="N266" i="19"/>
  <c r="T264" i="19"/>
  <c r="K267" i="19"/>
  <c r="P267" i="19" s="1"/>
  <c r="P251" i="21" l="1"/>
  <c r="N251" i="21"/>
  <c r="O251" i="21"/>
  <c r="AH259" i="21"/>
  <c r="AJ259" i="21"/>
  <c r="AI259" i="21"/>
  <c r="AK259" i="21" s="1"/>
  <c r="AG260" i="21" s="1"/>
  <c r="R230" i="21"/>
  <c r="K230" i="21"/>
  <c r="AZ273" i="21"/>
  <c r="AV274" i="21" s="1"/>
  <c r="AT225" i="21"/>
  <c r="BK225" i="21"/>
  <c r="BE267" i="21"/>
  <c r="L267" i="19"/>
  <c r="M267" i="19" s="1"/>
  <c r="O267" i="19" s="1"/>
  <c r="J268" i="19" s="1"/>
  <c r="Y264" i="19"/>
  <c r="U264" i="19"/>
  <c r="AI260" i="21" l="1"/>
  <c r="AJ260" i="21"/>
  <c r="AK260" i="21" s="1"/>
  <c r="AG261" i="21" s="1"/>
  <c r="AH260" i="21"/>
  <c r="Q251" i="21"/>
  <c r="M252" i="21" s="1"/>
  <c r="U230" i="21"/>
  <c r="T230" i="21"/>
  <c r="V230" i="21" s="1"/>
  <c r="S230" i="21"/>
  <c r="AR230" i="21" s="1"/>
  <c r="L230" i="21"/>
  <c r="AQ230" i="21"/>
  <c r="AO230" i="21" s="1"/>
  <c r="AP230" i="21" s="1"/>
  <c r="AL231" i="21" s="1"/>
  <c r="BZ225" i="21"/>
  <c r="BS225" i="21" s="1"/>
  <c r="BT225" i="21" s="1"/>
  <c r="BP226" i="21" s="1"/>
  <c r="AU225" i="21"/>
  <c r="BL225" i="21"/>
  <c r="CA225" i="21" s="1"/>
  <c r="BA268" i="21"/>
  <c r="AX274" i="21"/>
  <c r="AY274" i="21"/>
  <c r="AW274" i="21"/>
  <c r="N267" i="19"/>
  <c r="K268" i="19"/>
  <c r="V264" i="19"/>
  <c r="W264" i="19" s="1"/>
  <c r="P252" i="21" l="1"/>
  <c r="N252" i="21"/>
  <c r="O252" i="21"/>
  <c r="Q252" i="21" s="1"/>
  <c r="M253" i="21" s="1"/>
  <c r="AJ261" i="21"/>
  <c r="AH261" i="21"/>
  <c r="AI261" i="21"/>
  <c r="AK261" i="21" s="1"/>
  <c r="AG262" i="21" s="1"/>
  <c r="AE230" i="21"/>
  <c r="AF230" i="21" s="1"/>
  <c r="AB231" i="21" s="1"/>
  <c r="AC231" i="21" s="1"/>
  <c r="R231" i="21"/>
  <c r="S231" i="21" s="1"/>
  <c r="T231" i="21" s="1"/>
  <c r="AN231" i="21"/>
  <c r="AO231" i="21" s="1"/>
  <c r="AP231" i="21" s="1"/>
  <c r="AL232" i="21" s="1"/>
  <c r="AM231" i="21"/>
  <c r="BM225" i="21"/>
  <c r="BN225" i="21" s="1"/>
  <c r="BQ226" i="21"/>
  <c r="BR226" i="21" s="1"/>
  <c r="AZ274" i="21"/>
  <c r="AV275" i="21" s="1"/>
  <c r="BB268" i="21"/>
  <c r="BC268" i="21"/>
  <c r="BD268" i="21"/>
  <c r="X264" i="19"/>
  <c r="S265" i="19" s="1"/>
  <c r="P268" i="19"/>
  <c r="L268" i="19"/>
  <c r="N253" i="21" l="1"/>
  <c r="O253" i="21"/>
  <c r="P253" i="21"/>
  <c r="Q253" i="21"/>
  <c r="M254" i="21" s="1"/>
  <c r="AH262" i="21"/>
  <c r="AJ262" i="21"/>
  <c r="AI262" i="21"/>
  <c r="AK262" i="21" s="1"/>
  <c r="AG263" i="21" s="1"/>
  <c r="K231" i="21"/>
  <c r="L231" i="21" s="1"/>
  <c r="AD231" i="21"/>
  <c r="AN232" i="21"/>
  <c r="AM232" i="21"/>
  <c r="AO232" i="21"/>
  <c r="AR231" i="21"/>
  <c r="BO225" i="21"/>
  <c r="BK226" i="21" s="1"/>
  <c r="BE268" i="21"/>
  <c r="BA269" i="21" s="1"/>
  <c r="AY275" i="21"/>
  <c r="AW275" i="21"/>
  <c r="AX275" i="21"/>
  <c r="M268" i="19"/>
  <c r="O268" i="19" s="1"/>
  <c r="J269" i="19" s="1"/>
  <c r="T265" i="19"/>
  <c r="AQ231" i="21" l="1"/>
  <c r="U231" i="21" s="1"/>
  <c r="V231" i="21" s="1"/>
  <c r="R232" i="21" s="1"/>
  <c r="AJ263" i="21"/>
  <c r="AI263" i="21"/>
  <c r="AH263" i="21"/>
  <c r="AK263" i="21"/>
  <c r="AG264" i="21" s="1"/>
  <c r="O254" i="21"/>
  <c r="Q254" i="21" s="1"/>
  <c r="M255" i="21" s="1"/>
  <c r="N254" i="21"/>
  <c r="P254" i="21"/>
  <c r="AP232" i="21"/>
  <c r="AL233" i="21" s="1"/>
  <c r="AM233" i="21"/>
  <c r="AN233" i="21" s="1"/>
  <c r="AO233" i="21"/>
  <c r="AE231" i="21"/>
  <c r="AF231" i="21" s="1"/>
  <c r="AB232" i="21" s="1"/>
  <c r="AT226" i="21"/>
  <c r="AU226" i="21" s="1"/>
  <c r="BL226" i="21"/>
  <c r="CA226" i="21" s="1"/>
  <c r="AZ275" i="21"/>
  <c r="AV276" i="21" s="1"/>
  <c r="BD269" i="21"/>
  <c r="BC269" i="21"/>
  <c r="BB269" i="21"/>
  <c r="N268" i="19"/>
  <c r="Y265" i="19"/>
  <c r="U265" i="19"/>
  <c r="K269" i="19"/>
  <c r="O255" i="21" l="1"/>
  <c r="N255" i="21"/>
  <c r="P255" i="21"/>
  <c r="Q255" i="21" s="1"/>
  <c r="M256" i="21" s="1"/>
  <c r="AJ264" i="21"/>
  <c r="AH264" i="21"/>
  <c r="AI264" i="21"/>
  <c r="AK264" i="21"/>
  <c r="AG265" i="21" s="1"/>
  <c r="AP233" i="21"/>
  <c r="AL234" i="21" s="1"/>
  <c r="AC232" i="21"/>
  <c r="AD232" i="21" s="1"/>
  <c r="K232" i="21"/>
  <c r="T232" i="21"/>
  <c r="U232" i="21"/>
  <c r="V232" i="21" s="1"/>
  <c r="S232" i="21"/>
  <c r="BE269" i="21"/>
  <c r="BA270" i="21" s="1"/>
  <c r="BZ226" i="21"/>
  <c r="BS226" i="21" s="1"/>
  <c r="BT226" i="21" s="1"/>
  <c r="BP227" i="21" s="1"/>
  <c r="BQ227" i="21" s="1"/>
  <c r="BR227" i="21" s="1"/>
  <c r="BM226" i="21"/>
  <c r="AW276" i="21"/>
  <c r="AX276" i="21"/>
  <c r="AY276" i="21"/>
  <c r="P269" i="19"/>
  <c r="L269" i="19"/>
  <c r="V265" i="19"/>
  <c r="X265" i="19" s="1"/>
  <c r="S266" i="19" s="1"/>
  <c r="AH265" i="21" l="1"/>
  <c r="AI265" i="21"/>
  <c r="AJ265" i="21"/>
  <c r="N256" i="21"/>
  <c r="P256" i="21"/>
  <c r="O256" i="21"/>
  <c r="L232" i="21"/>
  <c r="AQ232" i="21"/>
  <c r="AE232" i="21" s="1"/>
  <c r="AF232" i="21" s="1"/>
  <c r="R233" i="21"/>
  <c r="AR232" i="21"/>
  <c r="AM234" i="21"/>
  <c r="AN234" i="21" s="1"/>
  <c r="AO234" i="21"/>
  <c r="AP234" i="21" s="1"/>
  <c r="AL235" i="21" s="1"/>
  <c r="BN226" i="21"/>
  <c r="BO226" i="21" s="1"/>
  <c r="AZ276" i="21"/>
  <c r="AV277" i="21" s="1"/>
  <c r="BC270" i="21"/>
  <c r="BD270" i="21"/>
  <c r="BB270" i="21"/>
  <c r="T266" i="19"/>
  <c r="W265" i="19"/>
  <c r="M269" i="19"/>
  <c r="N269" i="19" s="1"/>
  <c r="Q256" i="21" l="1"/>
  <c r="M257" i="21" s="1"/>
  <c r="AK265" i="21"/>
  <c r="AG266" i="21" s="1"/>
  <c r="AB233" i="21"/>
  <c r="K233" i="21"/>
  <c r="U233" i="21"/>
  <c r="T233" i="21"/>
  <c r="S233" i="21"/>
  <c r="AM235" i="21"/>
  <c r="AN235" i="21" s="1"/>
  <c r="AO235" i="21"/>
  <c r="BK227" i="21"/>
  <c r="AT227" i="21"/>
  <c r="BE270" i="21"/>
  <c r="BA271" i="21" s="1"/>
  <c r="AX277" i="21"/>
  <c r="AW277" i="21"/>
  <c r="AY277" i="21"/>
  <c r="Y266" i="19"/>
  <c r="O269" i="19"/>
  <c r="J270" i="19" s="1"/>
  <c r="U266" i="19"/>
  <c r="AP235" i="21" l="1"/>
  <c r="AL236" i="21" s="1"/>
  <c r="AI266" i="21"/>
  <c r="AH266" i="21"/>
  <c r="AJ266" i="21"/>
  <c r="AK266" i="21" s="1"/>
  <c r="AG267" i="21" s="1"/>
  <c r="V233" i="21"/>
  <c r="R234" i="21" s="1"/>
  <c r="P257" i="21"/>
  <c r="N257" i="21"/>
  <c r="O257" i="21"/>
  <c r="Q257" i="21" s="1"/>
  <c r="M258" i="21" s="1"/>
  <c r="AM236" i="21"/>
  <c r="AN236" i="21" s="1"/>
  <c r="AO236" i="21"/>
  <c r="AP236" i="21" s="1"/>
  <c r="AL237" i="21" s="1"/>
  <c r="AQ233" i="21"/>
  <c r="L233" i="21"/>
  <c r="AC233" i="21"/>
  <c r="AR233" i="21" s="1"/>
  <c r="AU227" i="21"/>
  <c r="BZ227" i="21"/>
  <c r="BS227" i="21" s="1"/>
  <c r="BT227" i="21" s="1"/>
  <c r="BP228" i="21" s="1"/>
  <c r="BL227" i="21"/>
  <c r="CA227" i="21" s="1"/>
  <c r="AZ277" i="21"/>
  <c r="AV278" i="21" s="1"/>
  <c r="BB271" i="21"/>
  <c r="BC271" i="21"/>
  <c r="BD271" i="21"/>
  <c r="V266" i="19"/>
  <c r="X266" i="19" s="1"/>
  <c r="S267" i="19" s="1"/>
  <c r="K270" i="19"/>
  <c r="W266" i="19"/>
  <c r="N258" i="21" l="1"/>
  <c r="P258" i="21"/>
  <c r="O258" i="21"/>
  <c r="AJ267" i="21"/>
  <c r="AH267" i="21"/>
  <c r="AI267" i="21"/>
  <c r="S234" i="21"/>
  <c r="T234" i="21"/>
  <c r="AM237" i="21"/>
  <c r="AN237" i="21"/>
  <c r="AO237" i="21"/>
  <c r="AD233" i="21"/>
  <c r="AE233" i="21" s="1"/>
  <c r="AF233" i="21" s="1"/>
  <c r="BQ228" i="21"/>
  <c r="BR228" i="21" s="1"/>
  <c r="BM227" i="21"/>
  <c r="BE271" i="21"/>
  <c r="BA272" i="21" s="1"/>
  <c r="AY278" i="21"/>
  <c r="AW278" i="21"/>
  <c r="AX278" i="21"/>
  <c r="T267" i="19"/>
  <c r="P270" i="19"/>
  <c r="L270" i="19"/>
  <c r="AP237" i="21" l="1"/>
  <c r="AL238" i="21" s="1"/>
  <c r="AM238" i="21" s="1"/>
  <c r="AN238" i="21" s="1"/>
  <c r="AK267" i="21"/>
  <c r="AG268" i="21" s="1"/>
  <c r="Q258" i="21"/>
  <c r="M259" i="21" s="1"/>
  <c r="AB234" i="21"/>
  <c r="K234" i="21"/>
  <c r="BN227" i="21"/>
  <c r="BO227" i="21" s="1"/>
  <c r="AZ278" i="21"/>
  <c r="BB272" i="21"/>
  <c r="BD272" i="21"/>
  <c r="BC272" i="21"/>
  <c r="BE272" i="21" s="1"/>
  <c r="M270" i="19"/>
  <c r="N270" i="19" s="1"/>
  <c r="Y267" i="19"/>
  <c r="U267" i="19"/>
  <c r="P259" i="21" l="1"/>
  <c r="O259" i="21"/>
  <c r="Q259" i="21"/>
  <c r="M260" i="21" s="1"/>
  <c r="N259" i="21"/>
  <c r="AJ268" i="21"/>
  <c r="AH268" i="21"/>
  <c r="AI268" i="21"/>
  <c r="AK268" i="21"/>
  <c r="AG269" i="21" s="1"/>
  <c r="AC234" i="21"/>
  <c r="AR234" i="21" s="1"/>
  <c r="AQ234" i="21"/>
  <c r="U234" i="21" s="1"/>
  <c r="V234" i="21" s="1"/>
  <c r="L234" i="21"/>
  <c r="AT228" i="21"/>
  <c r="BK228" i="21"/>
  <c r="BA273" i="21"/>
  <c r="AV279" i="21"/>
  <c r="V267" i="19"/>
  <c r="X267" i="19" s="1"/>
  <c r="S268" i="19" s="1"/>
  <c r="O270" i="19"/>
  <c r="J271" i="19" s="1"/>
  <c r="AH269" i="21" l="1"/>
  <c r="AJ269" i="21"/>
  <c r="AI269" i="21"/>
  <c r="AK269" i="21"/>
  <c r="AG270" i="21" s="1"/>
  <c r="O260" i="21"/>
  <c r="N260" i="21"/>
  <c r="P260" i="21"/>
  <c r="R235" i="21"/>
  <c r="AD234" i="21"/>
  <c r="AE234" i="21" s="1"/>
  <c r="AF234" i="21" s="1"/>
  <c r="AB235" i="21" s="1"/>
  <c r="BL228" i="21"/>
  <c r="CA228" i="21" s="1"/>
  <c r="BZ228" i="21"/>
  <c r="BS228" i="21" s="1"/>
  <c r="BT228" i="21" s="1"/>
  <c r="BP229" i="21" s="1"/>
  <c r="AU228" i="21"/>
  <c r="AX279" i="21"/>
  <c r="AY279" i="21"/>
  <c r="AW279" i="21"/>
  <c r="BC273" i="21"/>
  <c r="BB273" i="21"/>
  <c r="BD273" i="21"/>
  <c r="W267" i="19"/>
  <c r="K271" i="19"/>
  <c r="T268" i="19"/>
  <c r="U268" i="19" s="1"/>
  <c r="V268" i="19" s="1"/>
  <c r="Q260" i="21" l="1"/>
  <c r="M261" i="21" s="1"/>
  <c r="AJ270" i="21"/>
  <c r="AH270" i="21"/>
  <c r="AI270" i="21"/>
  <c r="AC235" i="21"/>
  <c r="AD235" i="21" s="1"/>
  <c r="K235" i="21"/>
  <c r="T235" i="21"/>
  <c r="V235" i="21" s="1"/>
  <c r="U235" i="21"/>
  <c r="S235" i="21"/>
  <c r="BQ229" i="21"/>
  <c r="BR229" i="21" s="1"/>
  <c r="BM228" i="21"/>
  <c r="AZ279" i="21"/>
  <c r="AV280" i="21" s="1"/>
  <c r="BE273" i="21"/>
  <c r="X268" i="19"/>
  <c r="S269" i="19" s="1"/>
  <c r="W268" i="19"/>
  <c r="Y268" i="19"/>
  <c r="P271" i="19"/>
  <c r="L271" i="19"/>
  <c r="AK270" i="21" l="1"/>
  <c r="AG271" i="21" s="1"/>
  <c r="O261" i="21"/>
  <c r="P261" i="21"/>
  <c r="N261" i="21"/>
  <c r="R236" i="21"/>
  <c r="L235" i="21"/>
  <c r="AQ235" i="21"/>
  <c r="Z235" i="21" s="1"/>
  <c r="AA235" i="21" s="1"/>
  <c r="W236" i="21" s="1"/>
  <c r="AR235" i="21"/>
  <c r="BN228" i="21"/>
  <c r="BO228" i="21" s="1"/>
  <c r="AY280" i="21"/>
  <c r="AX280" i="21"/>
  <c r="AW280" i="21"/>
  <c r="BA274" i="21"/>
  <c r="M271" i="19"/>
  <c r="O271" i="19" s="1"/>
  <c r="J272" i="19" s="1"/>
  <c r="T269" i="19"/>
  <c r="AE235" i="21" l="1"/>
  <c r="AF235" i="21" s="1"/>
  <c r="AB236" i="21" s="1"/>
  <c r="AC236" i="21" s="1"/>
  <c r="AD236" i="21" s="1"/>
  <c r="Q261" i="21"/>
  <c r="M262" i="21" s="1"/>
  <c r="AH271" i="21"/>
  <c r="AI271" i="21"/>
  <c r="AJ271" i="21"/>
  <c r="X236" i="21"/>
  <c r="Y236" i="21"/>
  <c r="Z236" i="21"/>
  <c r="K236" i="21"/>
  <c r="U236" i="21"/>
  <c r="S236" i="21"/>
  <c r="T236" i="21"/>
  <c r="V236" i="21" s="1"/>
  <c r="AT229" i="21"/>
  <c r="BK229" i="21"/>
  <c r="BC274" i="21"/>
  <c r="BD274" i="21"/>
  <c r="BB274" i="21"/>
  <c r="AZ280" i="21"/>
  <c r="N271" i="19"/>
  <c r="K272" i="19"/>
  <c r="U269" i="19"/>
  <c r="Y269" i="19"/>
  <c r="AK271" i="21" l="1"/>
  <c r="AG272" i="21" s="1"/>
  <c r="O262" i="21"/>
  <c r="N262" i="21"/>
  <c r="P262" i="21"/>
  <c r="Q262" i="21"/>
  <c r="M263" i="21" s="1"/>
  <c r="L236" i="21"/>
  <c r="AQ236" i="21"/>
  <c r="AE236" i="21" s="1"/>
  <c r="AF236" i="21" s="1"/>
  <c r="AB237" i="21" s="1"/>
  <c r="AC237" i="21" s="1"/>
  <c r="AD237" i="21" s="1"/>
  <c r="R237" i="21"/>
  <c r="AA236" i="21"/>
  <c r="W237" i="21" s="1"/>
  <c r="AR236" i="21"/>
  <c r="BL229" i="21"/>
  <c r="CA229" i="21" s="1"/>
  <c r="BZ229" i="21"/>
  <c r="AU229" i="21"/>
  <c r="BE274" i="21"/>
  <c r="BA275" i="21" s="1"/>
  <c r="AV281" i="21"/>
  <c r="V269" i="19"/>
  <c r="X269" i="19" s="1"/>
  <c r="S270" i="19" s="1"/>
  <c r="P272" i="19"/>
  <c r="L272" i="19"/>
  <c r="W269" i="19"/>
  <c r="N263" i="21" l="1"/>
  <c r="O263" i="21"/>
  <c r="P263" i="21"/>
  <c r="Q263" i="21"/>
  <c r="M264" i="21" s="1"/>
  <c r="AI272" i="21"/>
  <c r="AJ272" i="21"/>
  <c r="AK272" i="21" s="1"/>
  <c r="AG273" i="21" s="1"/>
  <c r="AH272" i="21"/>
  <c r="K237" i="21"/>
  <c r="S237" i="21"/>
  <c r="U237" i="21"/>
  <c r="T237" i="21"/>
  <c r="V237" i="21"/>
  <c r="Z237" i="21"/>
  <c r="X237" i="21"/>
  <c r="Y237" i="21"/>
  <c r="BM229" i="21"/>
  <c r="BN229" i="21" s="1"/>
  <c r="BO229" i="21" s="1"/>
  <c r="BK230" i="21" s="1"/>
  <c r="BS229" i="21"/>
  <c r="BT229" i="21" s="1"/>
  <c r="BP230" i="21" s="1"/>
  <c r="BQ230" i="21" s="1"/>
  <c r="BR230" i="21" s="1"/>
  <c r="AW281" i="21"/>
  <c r="AX281" i="21"/>
  <c r="AY281" i="21"/>
  <c r="BB275" i="21"/>
  <c r="BD275" i="21"/>
  <c r="BC275" i="21"/>
  <c r="T270" i="19"/>
  <c r="M272" i="19"/>
  <c r="O272" i="19" s="1"/>
  <c r="J273" i="19" s="1"/>
  <c r="AJ273" i="21" l="1"/>
  <c r="AI273" i="21"/>
  <c r="AH273" i="21"/>
  <c r="AK273" i="21"/>
  <c r="AG274" i="21" s="1"/>
  <c r="O264" i="21"/>
  <c r="P264" i="21"/>
  <c r="N264" i="21"/>
  <c r="Q264" i="21"/>
  <c r="M265" i="21" s="1"/>
  <c r="AA237" i="21"/>
  <c r="W238" i="21" s="1"/>
  <c r="AR237" i="21"/>
  <c r="Z238" i="21"/>
  <c r="X238" i="21"/>
  <c r="Y238" i="21"/>
  <c r="AA238" i="21" s="1"/>
  <c r="W239" i="21" s="1"/>
  <c r="R238" i="21"/>
  <c r="L237" i="21"/>
  <c r="AQ237" i="21"/>
  <c r="AE237" i="21" s="1"/>
  <c r="AF237" i="21" s="1"/>
  <c r="AB238" i="21" s="1"/>
  <c r="AT230" i="21"/>
  <c r="BZ230" i="21" s="1"/>
  <c r="BS230" i="21" s="1"/>
  <c r="BT230" i="21" s="1"/>
  <c r="BP231" i="21" s="1"/>
  <c r="BL230" i="21"/>
  <c r="CA230" i="21" s="1"/>
  <c r="AZ281" i="21"/>
  <c r="BE275" i="21"/>
  <c r="K273" i="19"/>
  <c r="N272" i="19"/>
  <c r="Y270" i="19"/>
  <c r="U270" i="19"/>
  <c r="O265" i="21" l="1"/>
  <c r="N265" i="21"/>
  <c r="P265" i="21"/>
  <c r="Q265" i="21"/>
  <c r="M266" i="21" s="1"/>
  <c r="AH274" i="21"/>
  <c r="AJ274" i="21"/>
  <c r="AI274" i="21"/>
  <c r="AK274" i="21" s="1"/>
  <c r="AG275" i="21" s="1"/>
  <c r="K238" i="21"/>
  <c r="S238" i="21"/>
  <c r="T238" i="21"/>
  <c r="U238" i="21"/>
  <c r="V238" i="21"/>
  <c r="AC238" i="21"/>
  <c r="AD238" i="21" s="1"/>
  <c r="X239" i="21"/>
  <c r="Z239" i="21"/>
  <c r="Y239" i="21"/>
  <c r="AA239" i="21" s="1"/>
  <c r="W240" i="21" s="1"/>
  <c r="BM230" i="21"/>
  <c r="BN230" i="21"/>
  <c r="BO230" i="21" s="1"/>
  <c r="AU230" i="21"/>
  <c r="BQ231" i="21"/>
  <c r="BR231" i="21" s="1"/>
  <c r="BA276" i="21"/>
  <c r="AV282" i="21"/>
  <c r="V270" i="19"/>
  <c r="W270" i="19" s="1"/>
  <c r="X270" i="19"/>
  <c r="S271" i="19" s="1"/>
  <c r="P273" i="19"/>
  <c r="L273" i="19"/>
  <c r="AJ275" i="21" l="1"/>
  <c r="AI275" i="21"/>
  <c r="AH275" i="21"/>
  <c r="N266" i="21"/>
  <c r="O266" i="21"/>
  <c r="P266" i="21"/>
  <c r="Q266" i="21"/>
  <c r="M267" i="21" s="1"/>
  <c r="R239" i="21"/>
  <c r="X240" i="21"/>
  <c r="Y240" i="21"/>
  <c r="Z240" i="21"/>
  <c r="AA240" i="21" s="1"/>
  <c r="W241" i="21" s="1"/>
  <c r="AR238" i="21"/>
  <c r="L238" i="21"/>
  <c r="AQ238" i="21"/>
  <c r="AO238" i="21" s="1"/>
  <c r="AP238" i="21" s="1"/>
  <c r="AL239" i="21" s="1"/>
  <c r="AM239" i="21" s="1"/>
  <c r="AN239" i="21" s="1"/>
  <c r="BK231" i="21"/>
  <c r="AT231" i="21"/>
  <c r="BB276" i="21"/>
  <c r="BC276" i="21"/>
  <c r="BD276" i="21"/>
  <c r="AX282" i="21"/>
  <c r="AY282" i="21"/>
  <c r="AW282" i="21"/>
  <c r="M273" i="19"/>
  <c r="O273" i="19" s="1"/>
  <c r="J274" i="19" s="1"/>
  <c r="T271" i="19"/>
  <c r="P267" i="21" l="1"/>
  <c r="N267" i="21"/>
  <c r="O267" i="21"/>
  <c r="Q267" i="21" s="1"/>
  <c r="M268" i="21" s="1"/>
  <c r="AK275" i="21"/>
  <c r="AG276" i="21" s="1"/>
  <c r="S239" i="21"/>
  <c r="T239" i="21"/>
  <c r="U239" i="21"/>
  <c r="V239" i="21" s="1"/>
  <c r="X241" i="21"/>
  <c r="Z241" i="21"/>
  <c r="Y241" i="21"/>
  <c r="AE238" i="21"/>
  <c r="AF238" i="21" s="1"/>
  <c r="BE276" i="21"/>
  <c r="BA277" i="21" s="1"/>
  <c r="AU231" i="21"/>
  <c r="BZ231" i="21"/>
  <c r="BL231" i="21"/>
  <c r="CA231" i="21" s="1"/>
  <c r="BS231" i="21"/>
  <c r="BT231" i="21" s="1"/>
  <c r="BP232" i="21" s="1"/>
  <c r="AZ282" i="21"/>
  <c r="N273" i="19"/>
  <c r="Y271" i="19"/>
  <c r="U271" i="19"/>
  <c r="K274" i="19"/>
  <c r="L274" i="19" s="1"/>
  <c r="M274" i="19" s="1"/>
  <c r="N268" i="21" l="1"/>
  <c r="P268" i="21"/>
  <c r="O268" i="21"/>
  <c r="AH276" i="21"/>
  <c r="AI276" i="21"/>
  <c r="AJ276" i="21"/>
  <c r="AK276" i="21"/>
  <c r="AG277" i="21" s="1"/>
  <c r="Q268" i="21"/>
  <c r="M269" i="21" s="1"/>
  <c r="BM231" i="21"/>
  <c r="AA241" i="21"/>
  <c r="W242" i="21" s="1"/>
  <c r="X242" i="21" s="1"/>
  <c r="R240" i="21"/>
  <c r="AB239" i="21"/>
  <c r="K239" i="21"/>
  <c r="BN231" i="21"/>
  <c r="BO231" i="21" s="1"/>
  <c r="BQ232" i="21"/>
  <c r="BR232" i="21" s="1"/>
  <c r="AV283" i="21"/>
  <c r="BB277" i="21"/>
  <c r="BD277" i="21"/>
  <c r="BC277" i="21"/>
  <c r="O274" i="19"/>
  <c r="J275" i="19" s="1"/>
  <c r="N274" i="19"/>
  <c r="P274" i="19"/>
  <c r="V271" i="19"/>
  <c r="X271" i="19" s="1"/>
  <c r="S272" i="19" s="1"/>
  <c r="AJ277" i="21" l="1"/>
  <c r="AH277" i="21"/>
  <c r="AI277" i="21"/>
  <c r="AK277" i="21" s="1"/>
  <c r="AG278" i="21" s="1"/>
  <c r="Y242" i="21"/>
  <c r="Z242" i="21"/>
  <c r="AA242" i="21" s="1"/>
  <c r="W243" i="21" s="1"/>
  <c r="Z243" i="21" s="1"/>
  <c r="AQ239" i="21"/>
  <c r="AO239" i="21" s="1"/>
  <c r="AP239" i="21" s="1"/>
  <c r="AL240" i="21" s="1"/>
  <c r="AM240" i="21" s="1"/>
  <c r="AN240" i="21" s="1"/>
  <c r="L239" i="21"/>
  <c r="AC239" i="21"/>
  <c r="U240" i="21"/>
  <c r="S240" i="21"/>
  <c r="T240" i="21"/>
  <c r="V240" i="21" s="1"/>
  <c r="AT232" i="21"/>
  <c r="BK232" i="21"/>
  <c r="BE277" i="21"/>
  <c r="BA278" i="21" s="1"/>
  <c r="P269" i="21"/>
  <c r="N269" i="21"/>
  <c r="O269" i="21"/>
  <c r="AW283" i="21"/>
  <c r="AY283" i="21"/>
  <c r="AX283" i="21"/>
  <c r="W271" i="19"/>
  <c r="T272" i="19"/>
  <c r="K275" i="19"/>
  <c r="L275" i="19" s="1"/>
  <c r="AI278" i="21" l="1"/>
  <c r="AJ278" i="21"/>
  <c r="AH278" i="21"/>
  <c r="X243" i="21"/>
  <c r="Y243" i="21"/>
  <c r="AA243" i="21" s="1"/>
  <c r="W244" i="21" s="1"/>
  <c r="R241" i="21"/>
  <c r="AD239" i="21"/>
  <c r="AE239" i="21" s="1"/>
  <c r="AF239" i="21" s="1"/>
  <c r="AR239" i="21"/>
  <c r="AU232" i="21"/>
  <c r="BZ232" i="21"/>
  <c r="BL232" i="21"/>
  <c r="CA232" i="21" s="1"/>
  <c r="BS232" i="21"/>
  <c r="BT232" i="21" s="1"/>
  <c r="BP233" i="21" s="1"/>
  <c r="Q269" i="21"/>
  <c r="AZ283" i="21"/>
  <c r="AV284" i="21" s="1"/>
  <c r="BB278" i="21"/>
  <c r="BC278" i="21"/>
  <c r="BD278" i="21"/>
  <c r="P275" i="19"/>
  <c r="M275" i="19"/>
  <c r="O275" i="19" s="1"/>
  <c r="J276" i="19" s="1"/>
  <c r="Y272" i="19"/>
  <c r="U272" i="19"/>
  <c r="X244" i="21" l="1"/>
  <c r="Z244" i="21"/>
  <c r="Y244" i="21"/>
  <c r="AA244" i="21" s="1"/>
  <c r="W245" i="21" s="1"/>
  <c r="Z245" i="21" s="1"/>
  <c r="AK278" i="21"/>
  <c r="AG279" i="21" s="1"/>
  <c r="AB240" i="21"/>
  <c r="K240" i="21"/>
  <c r="T241" i="21"/>
  <c r="S241" i="21"/>
  <c r="U241" i="21"/>
  <c r="BQ233" i="21"/>
  <c r="BR233" i="21" s="1"/>
  <c r="BM232" i="21"/>
  <c r="M270" i="21"/>
  <c r="BE278" i="21"/>
  <c r="AW284" i="21"/>
  <c r="AX284" i="21"/>
  <c r="AY284" i="21"/>
  <c r="K276" i="19"/>
  <c r="V272" i="19"/>
  <c r="X272" i="19" s="1"/>
  <c r="S273" i="19" s="1"/>
  <c r="N275" i="19"/>
  <c r="AH279" i="21" l="1"/>
  <c r="AI279" i="21"/>
  <c r="AJ279" i="21"/>
  <c r="AK279" i="21"/>
  <c r="AG280" i="21" s="1"/>
  <c r="X245" i="21"/>
  <c r="Y245" i="21"/>
  <c r="AA245" i="21"/>
  <c r="W246" i="21" s="1"/>
  <c r="X246" i="21" s="1"/>
  <c r="AC240" i="21"/>
  <c r="AR240" i="21" s="1"/>
  <c r="V241" i="21"/>
  <c r="AQ240" i="21"/>
  <c r="AO240" i="21" s="1"/>
  <c r="AP240" i="21" s="1"/>
  <c r="AL241" i="21" s="1"/>
  <c r="L240" i="21"/>
  <c r="AZ284" i="21"/>
  <c r="AV285" i="21" s="1"/>
  <c r="BN232" i="21"/>
  <c r="BO232" i="21" s="1"/>
  <c r="P270" i="21"/>
  <c r="O270" i="21"/>
  <c r="N270" i="21"/>
  <c r="BA279" i="21"/>
  <c r="T273" i="19"/>
  <c r="W272" i="19"/>
  <c r="P276" i="19"/>
  <c r="L276" i="19"/>
  <c r="AD240" i="21" l="1"/>
  <c r="AE240" i="21" s="1"/>
  <c r="AF240" i="21" s="1"/>
  <c r="AJ280" i="21"/>
  <c r="AH280" i="21"/>
  <c r="AI280" i="21"/>
  <c r="AK280" i="21"/>
  <c r="AG281" i="21" s="1"/>
  <c r="Y246" i="21"/>
  <c r="Z246" i="21"/>
  <c r="AB241" i="21"/>
  <c r="K241" i="21"/>
  <c r="AM241" i="21"/>
  <c r="AN241" i="21"/>
  <c r="R242" i="21"/>
  <c r="Q270" i="21"/>
  <c r="M271" i="21" s="1"/>
  <c r="AT233" i="21"/>
  <c r="BK233" i="21"/>
  <c r="BB279" i="21"/>
  <c r="BC279" i="21"/>
  <c r="BD279" i="21"/>
  <c r="AY285" i="21"/>
  <c r="AW285" i="21"/>
  <c r="AX285" i="21"/>
  <c r="M276" i="19"/>
  <c r="N276" i="19" s="1"/>
  <c r="Y273" i="19"/>
  <c r="U273" i="19"/>
  <c r="AJ281" i="21" l="1"/>
  <c r="AI281" i="21"/>
  <c r="AH281" i="21"/>
  <c r="AK281" i="21"/>
  <c r="AG282" i="21" s="1"/>
  <c r="AA246" i="21"/>
  <c r="W247" i="21" s="1"/>
  <c r="T242" i="21"/>
  <c r="S242" i="21"/>
  <c r="U242" i="21"/>
  <c r="AQ241" i="21"/>
  <c r="AO241" i="21" s="1"/>
  <c r="AP241" i="21" s="1"/>
  <c r="AL242" i="21" s="1"/>
  <c r="L241" i="21"/>
  <c r="AC241" i="21"/>
  <c r="AR241" i="21" s="1"/>
  <c r="BE279" i="21"/>
  <c r="BA280" i="21" s="1"/>
  <c r="BL233" i="21"/>
  <c r="CA233" i="21" s="1"/>
  <c r="BS233" i="21"/>
  <c r="BT233" i="21" s="1"/>
  <c r="BP234" i="21" s="1"/>
  <c r="BZ233" i="21"/>
  <c r="AU233" i="21"/>
  <c r="N271" i="21"/>
  <c r="O271" i="21"/>
  <c r="P271" i="21"/>
  <c r="AZ285" i="21"/>
  <c r="AV286" i="21" s="1"/>
  <c r="V273" i="19"/>
  <c r="X273" i="19" s="1"/>
  <c r="S274" i="19" s="1"/>
  <c r="W273" i="19"/>
  <c r="O276" i="19"/>
  <c r="J277" i="19" s="1"/>
  <c r="X247" i="21" l="1"/>
  <c r="Y247" i="21"/>
  <c r="Z247" i="21"/>
  <c r="AA247" i="21" s="1"/>
  <c r="W248" i="21" s="1"/>
  <c r="V242" i="21"/>
  <c r="R243" i="21" s="1"/>
  <c r="AJ282" i="21"/>
  <c r="AH282" i="21"/>
  <c r="AI282" i="21"/>
  <c r="AK282" i="21" s="1"/>
  <c r="AG283" i="21" s="1"/>
  <c r="AD241" i="21"/>
  <c r="AE241" i="21" s="1"/>
  <c r="AF241" i="21" s="1"/>
  <c r="AN242" i="21"/>
  <c r="AM242" i="21"/>
  <c r="BQ234" i="21"/>
  <c r="BR234" i="21" s="1"/>
  <c r="BM233" i="21"/>
  <c r="Q271" i="21"/>
  <c r="BB280" i="21"/>
  <c r="BD280" i="21"/>
  <c r="BC280" i="21"/>
  <c r="AX286" i="21"/>
  <c r="AY286" i="21"/>
  <c r="AW286" i="21"/>
  <c r="K277" i="19"/>
  <c r="T274" i="19"/>
  <c r="AI283" i="21" l="1"/>
  <c r="AJ283" i="21"/>
  <c r="AK283" i="21"/>
  <c r="AG284" i="21" s="1"/>
  <c r="AH283" i="21"/>
  <c r="X248" i="21"/>
  <c r="Z248" i="21"/>
  <c r="Y248" i="21"/>
  <c r="AA248" i="21" s="1"/>
  <c r="W249" i="21" s="1"/>
  <c r="S243" i="21"/>
  <c r="T243" i="21"/>
  <c r="U243" i="21"/>
  <c r="V243" i="21" s="1"/>
  <c r="AB242" i="21"/>
  <c r="K242" i="21"/>
  <c r="BN233" i="21"/>
  <c r="BO233" i="21" s="1"/>
  <c r="BE280" i="21"/>
  <c r="BA281" i="21" s="1"/>
  <c r="M272" i="21"/>
  <c r="AZ286" i="21"/>
  <c r="Y274" i="19"/>
  <c r="U274" i="19"/>
  <c r="P277" i="19"/>
  <c r="L277" i="19"/>
  <c r="Z249" i="21" l="1"/>
  <c r="X249" i="21"/>
  <c r="Y249" i="21"/>
  <c r="AA249" i="21" s="1"/>
  <c r="W250" i="21" s="1"/>
  <c r="AI284" i="21"/>
  <c r="AJ284" i="21"/>
  <c r="AH284" i="21"/>
  <c r="AK284" i="21"/>
  <c r="AG285" i="21" s="1"/>
  <c r="R244" i="21"/>
  <c r="AC242" i="21"/>
  <c r="AR242" i="21" s="1"/>
  <c r="L242" i="21"/>
  <c r="AQ242" i="21"/>
  <c r="AO242" i="21" s="1"/>
  <c r="AP242" i="21" s="1"/>
  <c r="AL243" i="21" s="1"/>
  <c r="AM243" i="21" s="1"/>
  <c r="AN243" i="21" s="1"/>
  <c r="BK234" i="21"/>
  <c r="AT234" i="21"/>
  <c r="O272" i="21"/>
  <c r="P272" i="21"/>
  <c r="N272" i="21"/>
  <c r="AV287" i="21"/>
  <c r="BB281" i="21"/>
  <c r="BD281" i="21"/>
  <c r="BC281" i="21"/>
  <c r="M277" i="19"/>
  <c r="O277" i="19" s="1"/>
  <c r="J278" i="19" s="1"/>
  <c r="V274" i="19"/>
  <c r="X274" i="19" s="1"/>
  <c r="S275" i="19" s="1"/>
  <c r="Y250" i="21" l="1"/>
  <c r="X250" i="21"/>
  <c r="Z250" i="21"/>
  <c r="AA250" i="21"/>
  <c r="AH285" i="21"/>
  <c r="AI285" i="21"/>
  <c r="AJ285" i="21"/>
  <c r="AK285" i="21"/>
  <c r="AG286" i="21" s="1"/>
  <c r="AD242" i="21"/>
  <c r="AE242" i="21" s="1"/>
  <c r="AF242" i="21" s="1"/>
  <c r="AB243" i="21" s="1"/>
  <c r="S244" i="21"/>
  <c r="U244" i="21"/>
  <c r="T244" i="21"/>
  <c r="W251" i="21"/>
  <c r="Q272" i="21"/>
  <c r="M273" i="21" s="1"/>
  <c r="BE281" i="21"/>
  <c r="BA282" i="21" s="1"/>
  <c r="BZ234" i="21"/>
  <c r="AU234" i="21"/>
  <c r="BL234" i="21"/>
  <c r="CA234" i="21" s="1"/>
  <c r="BS234" i="21"/>
  <c r="BT234" i="21" s="1"/>
  <c r="BP235" i="21" s="1"/>
  <c r="AW287" i="21"/>
  <c r="AX287" i="21"/>
  <c r="AY287" i="21"/>
  <c r="N277" i="19"/>
  <c r="W274" i="19"/>
  <c r="T275" i="19"/>
  <c r="K278" i="19"/>
  <c r="AI286" i="21" l="1"/>
  <c r="AJ286" i="21"/>
  <c r="AH286" i="21"/>
  <c r="AK286" i="21"/>
  <c r="AG287" i="21" s="1"/>
  <c r="V244" i="21"/>
  <c r="K243" i="21"/>
  <c r="L243" i="21" s="1"/>
  <c r="R245" i="21"/>
  <c r="AC243" i="21"/>
  <c r="AR243" i="21" s="1"/>
  <c r="BM234" i="21"/>
  <c r="BN234" i="21" s="1"/>
  <c r="BO234" i="21" s="1"/>
  <c r="Y251" i="21"/>
  <c r="X251" i="21"/>
  <c r="Z251" i="21"/>
  <c r="BQ235" i="21"/>
  <c r="BR235" i="21" s="1"/>
  <c r="N273" i="21"/>
  <c r="P273" i="21"/>
  <c r="O273" i="21"/>
  <c r="AZ287" i="21"/>
  <c r="AV288" i="21" s="1"/>
  <c r="BB282" i="21"/>
  <c r="BC282" i="21"/>
  <c r="BD282" i="21"/>
  <c r="Y275" i="19"/>
  <c r="P278" i="19"/>
  <c r="L278" i="19"/>
  <c r="U275" i="19"/>
  <c r="AQ243" i="21" l="1"/>
  <c r="AO243" i="21" s="1"/>
  <c r="AP243" i="21" s="1"/>
  <c r="AL244" i="21" s="1"/>
  <c r="AO244" i="21" s="1"/>
  <c r="AI287" i="21"/>
  <c r="AJ287" i="21"/>
  <c r="AH287" i="21"/>
  <c r="AA251" i="21"/>
  <c r="W252" i="21" s="1"/>
  <c r="AD243" i="21"/>
  <c r="AE243" i="21" s="1"/>
  <c r="AF243" i="21" s="1"/>
  <c r="S245" i="21"/>
  <c r="U245" i="21"/>
  <c r="T245" i="21"/>
  <c r="V245" i="21" s="1"/>
  <c r="AT235" i="21"/>
  <c r="BK235" i="21"/>
  <c r="Q273" i="21"/>
  <c r="M274" i="21" s="1"/>
  <c r="BE282" i="21"/>
  <c r="BA283" i="21" s="1"/>
  <c r="AX288" i="21"/>
  <c r="AY288" i="21"/>
  <c r="AW288" i="21"/>
  <c r="V275" i="19"/>
  <c r="X275" i="19" s="1"/>
  <c r="S276" i="19" s="1"/>
  <c r="M278" i="19"/>
  <c r="O278" i="19" s="1"/>
  <c r="J279" i="19" s="1"/>
  <c r="W275" i="19"/>
  <c r="AM244" i="21" l="1"/>
  <c r="AN244" i="21" s="1"/>
  <c r="AK287" i="21"/>
  <c r="AG288" i="21" s="1"/>
  <c r="R246" i="21"/>
  <c r="AP244" i="21"/>
  <c r="AL245" i="21" s="1"/>
  <c r="AB244" i="21"/>
  <c r="K244" i="21"/>
  <c r="Z252" i="21"/>
  <c r="Y252" i="21"/>
  <c r="X252" i="21"/>
  <c r="BL235" i="21"/>
  <c r="CA235" i="21" s="1"/>
  <c r="BS235" i="21"/>
  <c r="BT235" i="21" s="1"/>
  <c r="BP236" i="21" s="1"/>
  <c r="BZ235" i="21"/>
  <c r="AU235" i="21"/>
  <c r="N274" i="21"/>
  <c r="O274" i="21"/>
  <c r="P274" i="21"/>
  <c r="AZ288" i="21"/>
  <c r="BB283" i="21"/>
  <c r="BC283" i="21"/>
  <c r="BD283" i="21"/>
  <c r="K279" i="19"/>
  <c r="T276" i="19"/>
  <c r="U276" i="19" s="1"/>
  <c r="V276" i="19" s="1"/>
  <c r="N278" i="19"/>
  <c r="AJ288" i="21" l="1"/>
  <c r="AI288" i="21"/>
  <c r="AK288" i="21" s="1"/>
  <c r="AG289" i="21" s="1"/>
  <c r="AH288" i="21"/>
  <c r="AA252" i="21"/>
  <c r="W253" i="21" s="1"/>
  <c r="AC244" i="21"/>
  <c r="AR244" i="21" s="1"/>
  <c r="AD244" i="21"/>
  <c r="AN245" i="21"/>
  <c r="AM245" i="21"/>
  <c r="L244" i="21"/>
  <c r="AQ244" i="21"/>
  <c r="S246" i="21"/>
  <c r="U246" i="21"/>
  <c r="T246" i="21"/>
  <c r="V246" i="21" s="1"/>
  <c r="BM235" i="21"/>
  <c r="BN235" i="21" s="1"/>
  <c r="BO235" i="21" s="1"/>
  <c r="BQ236" i="21"/>
  <c r="BR236" i="21" s="1"/>
  <c r="BE283" i="21"/>
  <c r="BA284" i="21" s="1"/>
  <c r="Q274" i="21"/>
  <c r="M275" i="21" s="1"/>
  <c r="AV289" i="21"/>
  <c r="X276" i="19"/>
  <c r="S277" i="19" s="1"/>
  <c r="W276" i="19"/>
  <c r="Y276" i="19"/>
  <c r="P279" i="19"/>
  <c r="L279" i="19"/>
  <c r="AJ289" i="21" l="1"/>
  <c r="AH289" i="21"/>
  <c r="AI289" i="21"/>
  <c r="AK289" i="21" s="1"/>
  <c r="AG290" i="21" s="1"/>
  <c r="AE244" i="21"/>
  <c r="AF244" i="21" s="1"/>
  <c r="AB245" i="21" s="1"/>
  <c r="R247" i="21"/>
  <c r="BK236" i="21"/>
  <c r="BS236" i="21" s="1"/>
  <c r="AT236" i="21"/>
  <c r="X253" i="21"/>
  <c r="Y253" i="21"/>
  <c r="Z253" i="21"/>
  <c r="AA253" i="21" s="1"/>
  <c r="BT236" i="21"/>
  <c r="BP237" i="21" s="1"/>
  <c r="BQ237" i="21" s="1"/>
  <c r="BR237" i="21" s="1"/>
  <c r="BL236" i="21"/>
  <c r="CA236" i="21" s="1"/>
  <c r="AU236" i="21"/>
  <c r="BZ236" i="21"/>
  <c r="P275" i="21"/>
  <c r="O275" i="21"/>
  <c r="N275" i="21"/>
  <c r="BB284" i="21"/>
  <c r="BD284" i="21"/>
  <c r="BC284" i="21"/>
  <c r="AW289" i="21"/>
  <c r="AX289" i="21"/>
  <c r="AY289" i="21"/>
  <c r="M279" i="19"/>
  <c r="N279" i="19" s="1"/>
  <c r="T277" i="19"/>
  <c r="AJ290" i="21" l="1"/>
  <c r="AI290" i="21"/>
  <c r="AK290" i="21"/>
  <c r="AG291" i="21" s="1"/>
  <c r="AH290" i="21"/>
  <c r="K245" i="21"/>
  <c r="AQ245" i="21"/>
  <c r="AO245" i="21" s="1"/>
  <c r="AP245" i="21" s="1"/>
  <c r="AL246" i="21" s="1"/>
  <c r="L245" i="21"/>
  <c r="AC245" i="21"/>
  <c r="AR245" i="21" s="1"/>
  <c r="S247" i="21"/>
  <c r="U247" i="21"/>
  <c r="T247" i="21"/>
  <c r="BE284" i="21"/>
  <c r="BA285" i="21" s="1"/>
  <c r="W254" i="21"/>
  <c r="BM236" i="21"/>
  <c r="Q275" i="21"/>
  <c r="AZ289" i="21"/>
  <c r="AV290" i="21" s="1"/>
  <c r="O279" i="19"/>
  <c r="J280" i="19" s="1"/>
  <c r="K280" i="19" s="1"/>
  <c r="U277" i="19"/>
  <c r="Y277" i="19"/>
  <c r="AI291" i="21" l="1"/>
  <c r="AH291" i="21"/>
  <c r="AJ291" i="21"/>
  <c r="AK291" i="21"/>
  <c r="AG292" i="21" s="1"/>
  <c r="V247" i="21"/>
  <c r="R248" i="21" s="1"/>
  <c r="AD245" i="21"/>
  <c r="AE245" i="21" s="1"/>
  <c r="AF245" i="21" s="1"/>
  <c r="AM246" i="21"/>
  <c r="AN246" i="21"/>
  <c r="AO246" i="21"/>
  <c r="X254" i="21"/>
  <c r="Y254" i="21"/>
  <c r="Z254" i="21"/>
  <c r="BN236" i="21"/>
  <c r="BO236" i="21" s="1"/>
  <c r="M276" i="21"/>
  <c r="AX290" i="21"/>
  <c r="AY290" i="21"/>
  <c r="AW290" i="21"/>
  <c r="BD285" i="21"/>
  <c r="BB285" i="21"/>
  <c r="BC285" i="21"/>
  <c r="V277" i="19"/>
  <c r="X277" i="19" s="1"/>
  <c r="S278" i="19" s="1"/>
  <c r="P280" i="19"/>
  <c r="L280" i="19"/>
  <c r="AI292" i="21" l="1"/>
  <c r="AJ292" i="21"/>
  <c r="AK292" i="21" s="1"/>
  <c r="AG293" i="21" s="1"/>
  <c r="AH292" i="21"/>
  <c r="AP246" i="21"/>
  <c r="AL247" i="21" s="1"/>
  <c r="AO247" i="21" s="1"/>
  <c r="AM247" i="21"/>
  <c r="AN247" i="21"/>
  <c r="S248" i="21"/>
  <c r="T248" i="21"/>
  <c r="U248" i="21"/>
  <c r="AB246" i="21"/>
  <c r="K246" i="21"/>
  <c r="AA254" i="21"/>
  <c r="AT237" i="21"/>
  <c r="BK237" i="21"/>
  <c r="O276" i="21"/>
  <c r="P276" i="21"/>
  <c r="N276" i="21"/>
  <c r="AZ290" i="21"/>
  <c r="AV291" i="21" s="1"/>
  <c r="BE285" i="21"/>
  <c r="W277" i="19"/>
  <c r="T278" i="19"/>
  <c r="M280" i="19"/>
  <c r="O280" i="19" s="1"/>
  <c r="J281" i="19" s="1"/>
  <c r="AI293" i="21" l="1"/>
  <c r="AJ293" i="21"/>
  <c r="AH293" i="21"/>
  <c r="AK293" i="21"/>
  <c r="AG294" i="21" s="1"/>
  <c r="AC246" i="21"/>
  <c r="AR246" i="21" s="1"/>
  <c r="AQ246" i="21"/>
  <c r="L246" i="21"/>
  <c r="V248" i="21"/>
  <c r="AP247" i="21"/>
  <c r="AL248" i="21" s="1"/>
  <c r="W255" i="21"/>
  <c r="Q276" i="21"/>
  <c r="M277" i="21" s="1"/>
  <c r="BZ237" i="21"/>
  <c r="AU237" i="21"/>
  <c r="BL237" i="21"/>
  <c r="CA237" i="21" s="1"/>
  <c r="BS237" i="21"/>
  <c r="BT237" i="21" s="1"/>
  <c r="BP238" i="21" s="1"/>
  <c r="BA286" i="21"/>
  <c r="AY291" i="21"/>
  <c r="AX291" i="21"/>
  <c r="AW291" i="21"/>
  <c r="N280" i="19"/>
  <c r="K281" i="19"/>
  <c r="Y278" i="19"/>
  <c r="U278" i="19"/>
  <c r="AJ294" i="21" l="1"/>
  <c r="AH294" i="21"/>
  <c r="AI294" i="21"/>
  <c r="AK294" i="21" s="1"/>
  <c r="AG295" i="21" s="1"/>
  <c r="AD246" i="21"/>
  <c r="AE246" i="21"/>
  <c r="AF246" i="21" s="1"/>
  <c r="K247" i="21" s="1"/>
  <c r="AM248" i="21"/>
  <c r="AN248" i="21"/>
  <c r="AO248" i="21"/>
  <c r="R249" i="21"/>
  <c r="X255" i="21"/>
  <c r="Z255" i="21"/>
  <c r="Y255" i="21"/>
  <c r="BM237" i="21"/>
  <c r="BQ238" i="21"/>
  <c r="BR238" i="21" s="1"/>
  <c r="N277" i="21"/>
  <c r="P277" i="21"/>
  <c r="O277" i="21"/>
  <c r="AZ291" i="21"/>
  <c r="BD286" i="21"/>
  <c r="BC286" i="21"/>
  <c r="BB286" i="21"/>
  <c r="V278" i="19"/>
  <c r="X278" i="19"/>
  <c r="S279" i="19" s="1"/>
  <c r="P281" i="19"/>
  <c r="W278" i="19"/>
  <c r="L281" i="19"/>
  <c r="AB247" i="21" l="1"/>
  <c r="AJ295" i="21"/>
  <c r="AI295" i="21"/>
  <c r="AH295" i="21"/>
  <c r="AP248" i="21"/>
  <c r="AL249" i="21" s="1"/>
  <c r="AM249" i="21" s="1"/>
  <c r="S249" i="21"/>
  <c r="U249" i="21"/>
  <c r="T249" i="21"/>
  <c r="AQ247" i="21"/>
  <c r="L247" i="21"/>
  <c r="AA255" i="21"/>
  <c r="W256" i="21" s="1"/>
  <c r="AC247" i="21"/>
  <c r="AR247" i="21" s="1"/>
  <c r="BE286" i="21"/>
  <c r="BA287" i="21" s="1"/>
  <c r="BN237" i="21"/>
  <c r="BO237" i="21" s="1"/>
  <c r="Q277" i="21"/>
  <c r="AV292" i="21"/>
  <c r="M281" i="19"/>
  <c r="O281" i="19" s="1"/>
  <c r="J282" i="19" s="1"/>
  <c r="T279" i="19"/>
  <c r="U279" i="19" s="1"/>
  <c r="AK295" i="21" l="1"/>
  <c r="AG296" i="21" s="1"/>
  <c r="AO249" i="21"/>
  <c r="AN249" i="21"/>
  <c r="AD247" i="21"/>
  <c r="AE247" i="21" s="1"/>
  <c r="AF247" i="21" s="1"/>
  <c r="AB248" i="21" s="1"/>
  <c r="V249" i="21"/>
  <c r="R250" i="21"/>
  <c r="AP249" i="21"/>
  <c r="AL250" i="21" s="1"/>
  <c r="Z256" i="21"/>
  <c r="Y256" i="21"/>
  <c r="X256" i="21"/>
  <c r="BK238" i="21"/>
  <c r="AT238" i="21"/>
  <c r="M278" i="21"/>
  <c r="BD287" i="21"/>
  <c r="BB287" i="21"/>
  <c r="BC287" i="21"/>
  <c r="AY292" i="21"/>
  <c r="AW292" i="21"/>
  <c r="AX292" i="21"/>
  <c r="N281" i="19"/>
  <c r="V279" i="19"/>
  <c r="X279" i="19" s="1"/>
  <c r="S280" i="19" s="1"/>
  <c r="Y279" i="19"/>
  <c r="K282" i="19"/>
  <c r="L282" i="19" s="1"/>
  <c r="M282" i="19" s="1"/>
  <c r="AI296" i="21" l="1"/>
  <c r="AJ296" i="21"/>
  <c r="AH296" i="21"/>
  <c r="AK296" i="21"/>
  <c r="AG297" i="21" s="1"/>
  <c r="K248" i="21"/>
  <c r="AA256" i="21"/>
  <c r="W257" i="21" s="1"/>
  <c r="AQ248" i="21"/>
  <c r="L248" i="21"/>
  <c r="AM250" i="21"/>
  <c r="AN250" i="21"/>
  <c r="AO250" i="21"/>
  <c r="AP250" i="21" s="1"/>
  <c r="AL251" i="21" s="1"/>
  <c r="AC248" i="21"/>
  <c r="AR248" i="21" s="1"/>
  <c r="U250" i="21"/>
  <c r="T250" i="21"/>
  <c r="S250" i="21"/>
  <c r="BZ238" i="21"/>
  <c r="AU238" i="21"/>
  <c r="BS238" i="21"/>
  <c r="BT238" i="21" s="1"/>
  <c r="BP239" i="21" s="1"/>
  <c r="BQ239" i="21" s="1"/>
  <c r="BR239" i="21" s="1"/>
  <c r="BL238" i="21"/>
  <c r="P278" i="21"/>
  <c r="N278" i="21"/>
  <c r="O278" i="21"/>
  <c r="BE287" i="21"/>
  <c r="BA288" i="21" s="1"/>
  <c r="AZ292" i="21"/>
  <c r="AV293" i="21" s="1"/>
  <c r="W279" i="19"/>
  <c r="N282" i="19"/>
  <c r="P282" i="19"/>
  <c r="O282" i="19"/>
  <c r="J283" i="19" s="1"/>
  <c r="T280" i="19"/>
  <c r="Y280" i="19" s="1"/>
  <c r="V250" i="21" l="1"/>
  <c r="R251" i="21" s="1"/>
  <c r="AH297" i="21"/>
  <c r="AI297" i="21"/>
  <c r="AJ297" i="21"/>
  <c r="AK297" i="21"/>
  <c r="AG298" i="21" s="1"/>
  <c r="AD248" i="21"/>
  <c r="AE248" i="21" s="1"/>
  <c r="AF248" i="21" s="1"/>
  <c r="S251" i="21"/>
  <c r="U251" i="21"/>
  <c r="V251" i="21" s="1"/>
  <c r="R252" i="21" s="1"/>
  <c r="T251" i="21"/>
  <c r="AN251" i="21"/>
  <c r="AO251" i="21"/>
  <c r="AM251" i="21"/>
  <c r="X257" i="21"/>
  <c r="Y257" i="21"/>
  <c r="Z257" i="21"/>
  <c r="CA238" i="21"/>
  <c r="BM238" i="21"/>
  <c r="BN238" i="21" s="1"/>
  <c r="BO238" i="21" s="1"/>
  <c r="BK239" i="21" s="1"/>
  <c r="Q278" i="21"/>
  <c r="BD288" i="21"/>
  <c r="BB288" i="21"/>
  <c r="BC288" i="21"/>
  <c r="AW293" i="21"/>
  <c r="AX293" i="21"/>
  <c r="AY293" i="21"/>
  <c r="U280" i="19"/>
  <c r="K283" i="19"/>
  <c r="L283" i="19" s="1"/>
  <c r="M283" i="19" s="1"/>
  <c r="AH298" i="21" l="1"/>
  <c r="AJ298" i="21"/>
  <c r="AI298" i="21"/>
  <c r="AK298" i="21" s="1"/>
  <c r="AG299" i="21" s="1"/>
  <c r="AP251" i="21"/>
  <c r="AL252" i="21" s="1"/>
  <c r="AO252" i="21" s="1"/>
  <c r="S252" i="21"/>
  <c r="U252" i="21"/>
  <c r="T252" i="21"/>
  <c r="AB249" i="21"/>
  <c r="K249" i="21"/>
  <c r="AA257" i="21"/>
  <c r="AT239" i="21"/>
  <c r="BZ239" i="21" s="1"/>
  <c r="BL239" i="21"/>
  <c r="CA239" i="21" s="1"/>
  <c r="BM239" i="21"/>
  <c r="BS239" i="21"/>
  <c r="BT239" i="21" s="1"/>
  <c r="BP240" i="21" s="1"/>
  <c r="M279" i="21"/>
  <c r="BE288" i="21"/>
  <c r="BA289" i="21" s="1"/>
  <c r="AZ293" i="21"/>
  <c r="AV294" i="21" s="1"/>
  <c r="O283" i="19"/>
  <c r="J284" i="19" s="1"/>
  <c r="N283" i="19"/>
  <c r="P283" i="19"/>
  <c r="V280" i="19"/>
  <c r="W280" i="19" s="1"/>
  <c r="AJ299" i="21" l="1"/>
  <c r="AI299" i="21"/>
  <c r="AH299" i="21"/>
  <c r="AN252" i="21"/>
  <c r="AP252" i="21" s="1"/>
  <c r="AL253" i="21" s="1"/>
  <c r="AN253" i="21" s="1"/>
  <c r="V252" i="21"/>
  <c r="R253" i="21" s="1"/>
  <c r="U253" i="21" s="1"/>
  <c r="AM252" i="21"/>
  <c r="AC249" i="21"/>
  <c r="AR249" i="21" s="1"/>
  <c r="AQ249" i="21"/>
  <c r="L249" i="21"/>
  <c r="W258" i="21"/>
  <c r="AU239" i="21"/>
  <c r="BQ240" i="21"/>
  <c r="BR240" i="21" s="1"/>
  <c r="BN239" i="21"/>
  <c r="BO239" i="21" s="1"/>
  <c r="P279" i="21"/>
  <c r="O279" i="21"/>
  <c r="N279" i="21"/>
  <c r="AW294" i="21"/>
  <c r="AY294" i="21"/>
  <c r="AX294" i="21"/>
  <c r="BC289" i="21"/>
  <c r="BB289" i="21"/>
  <c r="BD289" i="21"/>
  <c r="X280" i="19"/>
  <c r="S281" i="19" s="1"/>
  <c r="K284" i="19"/>
  <c r="S253" i="21" l="1"/>
  <c r="T253" i="21"/>
  <c r="AD249" i="21"/>
  <c r="AE249" i="21"/>
  <c r="AF249" i="21" s="1"/>
  <c r="AB250" i="21" s="1"/>
  <c r="AM253" i="21"/>
  <c r="AO253" i="21"/>
  <c r="AP253" i="21" s="1"/>
  <c r="AL254" i="21" s="1"/>
  <c r="AM254" i="21" s="1"/>
  <c r="AK299" i="21"/>
  <c r="AG300" i="21" s="1"/>
  <c r="V253" i="21"/>
  <c r="R254" i="21" s="1"/>
  <c r="S254" i="21" s="1"/>
  <c r="X258" i="21"/>
  <c r="Y258" i="21"/>
  <c r="Z258" i="21"/>
  <c r="Q279" i="21"/>
  <c r="M280" i="21" s="1"/>
  <c r="BK240" i="21"/>
  <c r="AT240" i="21"/>
  <c r="BE289" i="21"/>
  <c r="BA290" i="21" s="1"/>
  <c r="AZ294" i="21"/>
  <c r="AV295" i="21" s="1"/>
  <c r="P284" i="19"/>
  <c r="L284" i="19"/>
  <c r="T281" i="19"/>
  <c r="AO254" i="21" l="1"/>
  <c r="K250" i="21"/>
  <c r="AH300" i="21"/>
  <c r="AI300" i="21"/>
  <c r="AJ300" i="21"/>
  <c r="AN254" i="21"/>
  <c r="AP254" i="21" s="1"/>
  <c r="AL255" i="21" s="1"/>
  <c r="U254" i="21"/>
  <c r="T254" i="21"/>
  <c r="V254" i="21" s="1"/>
  <c r="R255" i="21" s="1"/>
  <c r="T255" i="21" s="1"/>
  <c r="AC250" i="21"/>
  <c r="AR250" i="21" s="1"/>
  <c r="AQ250" i="21"/>
  <c r="L250" i="21"/>
  <c r="AA258" i="21"/>
  <c r="W259" i="21" s="1"/>
  <c r="BZ240" i="21"/>
  <c r="AU240" i="21"/>
  <c r="BL240" i="21"/>
  <c r="CA240" i="21" s="1"/>
  <c r="BS240" i="21"/>
  <c r="BT240" i="21" s="1"/>
  <c r="BP241" i="21" s="1"/>
  <c r="N280" i="21"/>
  <c r="O280" i="21"/>
  <c r="P280" i="21"/>
  <c r="AY295" i="21"/>
  <c r="AX295" i="21"/>
  <c r="AW295" i="21"/>
  <c r="BD290" i="21"/>
  <c r="BB290" i="21"/>
  <c r="BC290" i="21"/>
  <c r="Y281" i="19"/>
  <c r="U281" i="19"/>
  <c r="M284" i="19"/>
  <c r="O284" i="19" s="1"/>
  <c r="J285" i="19" s="1"/>
  <c r="S255" i="21" l="1"/>
  <c r="AK300" i="21"/>
  <c r="AG301" i="21" s="1"/>
  <c r="U255" i="21"/>
  <c r="V255" i="21" s="1"/>
  <c r="R256" i="21" s="1"/>
  <c r="AD250" i="21"/>
  <c r="AE250" i="21" s="1"/>
  <c r="AF250" i="21" s="1"/>
  <c r="AO255" i="21"/>
  <c r="AM255" i="21"/>
  <c r="AN255" i="21"/>
  <c r="Y259" i="21"/>
  <c r="X259" i="21"/>
  <c r="Z259" i="21"/>
  <c r="Q280" i="21"/>
  <c r="M281" i="21" s="1"/>
  <c r="BM240" i="21"/>
  <c r="BQ241" i="21"/>
  <c r="BR241" i="21" s="1"/>
  <c r="BE290" i="21"/>
  <c r="BA291" i="21" s="1"/>
  <c r="AZ295" i="21"/>
  <c r="AV296" i="21" s="1"/>
  <c r="N284" i="19"/>
  <c r="K285" i="19"/>
  <c r="V281" i="19"/>
  <c r="W281" i="19" s="1"/>
  <c r="S256" i="21" l="1"/>
  <c r="U256" i="21"/>
  <c r="T256" i="21"/>
  <c r="AA259" i="21"/>
  <c r="W260" i="21" s="1"/>
  <c r="AP255" i="21"/>
  <c r="AL256" i="21" s="1"/>
  <c r="AN256" i="21" s="1"/>
  <c r="AH301" i="21"/>
  <c r="AJ301" i="21"/>
  <c r="AI301" i="21"/>
  <c r="AK301" i="21" s="1"/>
  <c r="AG302" i="21" s="1"/>
  <c r="AB251" i="21"/>
  <c r="K251" i="21"/>
  <c r="BN240" i="21"/>
  <c r="BO240" i="21" s="1"/>
  <c r="P281" i="21"/>
  <c r="O281" i="21"/>
  <c r="Q281" i="21" s="1"/>
  <c r="N281" i="21"/>
  <c r="BB291" i="21"/>
  <c r="BC291" i="21"/>
  <c r="BD291" i="21"/>
  <c r="AX296" i="21"/>
  <c r="AW296" i="21"/>
  <c r="AY296" i="21"/>
  <c r="X281" i="19"/>
  <c r="S282" i="19" s="1"/>
  <c r="P285" i="19"/>
  <c r="L285" i="19"/>
  <c r="AI302" i="21" l="1"/>
  <c r="AJ302" i="21"/>
  <c r="AH302" i="21"/>
  <c r="AK302" i="21"/>
  <c r="AM256" i="21"/>
  <c r="AO256" i="21"/>
  <c r="AP256" i="21" s="1"/>
  <c r="AL257" i="21" s="1"/>
  <c r="V256" i="21"/>
  <c r="R257" i="21" s="1"/>
  <c r="AC251" i="21"/>
  <c r="AR251" i="21" s="1"/>
  <c r="AQ251" i="21"/>
  <c r="L251" i="21"/>
  <c r="Y260" i="21"/>
  <c r="X260" i="21"/>
  <c r="Z260" i="21"/>
  <c r="BK241" i="21"/>
  <c r="AT241" i="21"/>
  <c r="M282" i="21"/>
  <c r="AZ296" i="21"/>
  <c r="AV297" i="21" s="1"/>
  <c r="BE291" i="21"/>
  <c r="BA292" i="21" s="1"/>
  <c r="M285" i="19"/>
  <c r="O285" i="19" s="1"/>
  <c r="J286" i="19" s="1"/>
  <c r="T282" i="19"/>
  <c r="U257" i="21" l="1"/>
  <c r="S257" i="21"/>
  <c r="T257" i="21"/>
  <c r="V257" i="21"/>
  <c r="R258" i="21" s="1"/>
  <c r="T258" i="21" s="1"/>
  <c r="AO257" i="21"/>
  <c r="AM257" i="21"/>
  <c r="AN257" i="21"/>
  <c r="AD251" i="21"/>
  <c r="AE251" i="21" s="1"/>
  <c r="AF251" i="21" s="1"/>
  <c r="AA260" i="21"/>
  <c r="W261" i="21" s="1"/>
  <c r="BZ241" i="21"/>
  <c r="AU241" i="21"/>
  <c r="BL241" i="21"/>
  <c r="CA241" i="21" s="1"/>
  <c r="BS241" i="21"/>
  <c r="BT241" i="21" s="1"/>
  <c r="BP242" i="21" s="1"/>
  <c r="O282" i="21"/>
  <c r="N282" i="21"/>
  <c r="P282" i="21"/>
  <c r="AX297" i="21"/>
  <c r="AY297" i="21"/>
  <c r="AW297" i="21"/>
  <c r="BB292" i="21"/>
  <c r="BC292" i="21"/>
  <c r="BD292" i="21"/>
  <c r="N285" i="19"/>
  <c r="Y282" i="19"/>
  <c r="U282" i="19"/>
  <c r="K286" i="19"/>
  <c r="U258" i="21" l="1"/>
  <c r="V258" i="21" s="1"/>
  <c r="R259" i="21" s="1"/>
  <c r="S258" i="21"/>
  <c r="AP257" i="21"/>
  <c r="AL258" i="21" s="1"/>
  <c r="AN258" i="21" s="1"/>
  <c r="AB252" i="21"/>
  <c r="K252" i="21"/>
  <c r="Y261" i="21"/>
  <c r="Z261" i="21"/>
  <c r="X261" i="21"/>
  <c r="AZ297" i="21"/>
  <c r="AV298" i="21" s="1"/>
  <c r="BQ242" i="21"/>
  <c r="BR242" i="21" s="1"/>
  <c r="BM241" i="21"/>
  <c r="Q282" i="21"/>
  <c r="M283" i="21" s="1"/>
  <c r="BE292" i="21"/>
  <c r="P286" i="19"/>
  <c r="V282" i="19"/>
  <c r="X282" i="19" s="1"/>
  <c r="S283" i="19" s="1"/>
  <c r="L286" i="19"/>
  <c r="W282" i="19"/>
  <c r="AO258" i="21" l="1"/>
  <c r="AM258" i="21"/>
  <c r="AA261" i="21"/>
  <c r="U259" i="21"/>
  <c r="T259" i="21"/>
  <c r="V259" i="21" s="1"/>
  <c r="R260" i="21" s="1"/>
  <c r="S259" i="21"/>
  <c r="AP258" i="21"/>
  <c r="AL259" i="21" s="1"/>
  <c r="AO259" i="21" s="1"/>
  <c r="AQ252" i="21"/>
  <c r="L252" i="21"/>
  <c r="AC252" i="21"/>
  <c r="AR252" i="21" s="1"/>
  <c r="W262" i="21"/>
  <c r="BN241" i="21"/>
  <c r="BO241" i="21" s="1"/>
  <c r="N283" i="21"/>
  <c r="P283" i="21"/>
  <c r="O283" i="21"/>
  <c r="AX298" i="21"/>
  <c r="AY298" i="21"/>
  <c r="AW298" i="21"/>
  <c r="BA293" i="21"/>
  <c r="T283" i="19"/>
  <c r="M286" i="19"/>
  <c r="O286" i="19" s="1"/>
  <c r="J287" i="19" s="1"/>
  <c r="AN259" i="21" l="1"/>
  <c r="AM259" i="21"/>
  <c r="S260" i="21"/>
  <c r="U260" i="21"/>
  <c r="T260" i="21"/>
  <c r="AP259" i="21"/>
  <c r="AL260" i="21" s="1"/>
  <c r="AM260" i="21" s="1"/>
  <c r="AD252" i="21"/>
  <c r="AE252" i="21" s="1"/>
  <c r="AF252" i="21" s="1"/>
  <c r="Y262" i="21"/>
  <c r="Z262" i="21"/>
  <c r="X262" i="21"/>
  <c r="AZ298" i="21"/>
  <c r="AV299" i="21" s="1"/>
  <c r="BK242" i="21"/>
  <c r="AT242" i="21"/>
  <c r="Q283" i="21"/>
  <c r="M284" i="21" s="1"/>
  <c r="BB293" i="21"/>
  <c r="BD293" i="21"/>
  <c r="BC293" i="21"/>
  <c r="N286" i="19"/>
  <c r="K287" i="19"/>
  <c r="Y283" i="19"/>
  <c r="U283" i="19"/>
  <c r="AO260" i="21" l="1"/>
  <c r="AN260" i="21"/>
  <c r="V260" i="21"/>
  <c r="R261" i="21" s="1"/>
  <c r="AB253" i="21"/>
  <c r="K253" i="21"/>
  <c r="AP260" i="21"/>
  <c r="AL261" i="21" s="1"/>
  <c r="AA262" i="21"/>
  <c r="AU242" i="21"/>
  <c r="BZ242" i="21"/>
  <c r="BL242" i="21"/>
  <c r="CA242" i="21" s="1"/>
  <c r="BS242" i="21"/>
  <c r="BT242" i="21" s="1"/>
  <c r="BP243" i="21" s="1"/>
  <c r="P284" i="21"/>
  <c r="N284" i="21"/>
  <c r="O284" i="21"/>
  <c r="BE293" i="21"/>
  <c r="BA294" i="21" s="1"/>
  <c r="AW299" i="21"/>
  <c r="AX299" i="21"/>
  <c r="AY299" i="21"/>
  <c r="P287" i="19"/>
  <c r="V283" i="19"/>
  <c r="X283" i="19" s="1"/>
  <c r="S284" i="19" s="1"/>
  <c r="L287" i="19"/>
  <c r="T261" i="21" l="1"/>
  <c r="S261" i="21"/>
  <c r="U261" i="21"/>
  <c r="V261" i="21" s="1"/>
  <c r="R262" i="21" s="1"/>
  <c r="AO261" i="21"/>
  <c r="AM261" i="21"/>
  <c r="AN261" i="21"/>
  <c r="AP261" i="21" s="1"/>
  <c r="AL262" i="21" s="1"/>
  <c r="L253" i="21"/>
  <c r="AQ253" i="21"/>
  <c r="BM242" i="21"/>
  <c r="AC253" i="21"/>
  <c r="AR253" i="21" s="1"/>
  <c r="W263" i="21"/>
  <c r="BN242" i="21"/>
  <c r="Q284" i="21"/>
  <c r="M285" i="21" s="1"/>
  <c r="BQ243" i="21"/>
  <c r="BR243" i="21" s="1"/>
  <c r="AZ299" i="21"/>
  <c r="AV300" i="21" s="1"/>
  <c r="BB294" i="21"/>
  <c r="BC294" i="21"/>
  <c r="BD294" i="21"/>
  <c r="W283" i="19"/>
  <c r="T284" i="19"/>
  <c r="M287" i="19"/>
  <c r="O287" i="19" s="1"/>
  <c r="J288" i="19" s="1"/>
  <c r="T262" i="21" l="1"/>
  <c r="S262" i="21"/>
  <c r="U262" i="21"/>
  <c r="V262" i="21"/>
  <c r="R263" i="21" s="1"/>
  <c r="AD253" i="21"/>
  <c r="AE253" i="21" s="1"/>
  <c r="AF253" i="21" s="1"/>
  <c r="AB254" i="21" s="1"/>
  <c r="BO242" i="21"/>
  <c r="AM262" i="21"/>
  <c r="AO262" i="21"/>
  <c r="AN262" i="21"/>
  <c r="X263" i="21"/>
  <c r="Y263" i="21"/>
  <c r="Z263" i="21"/>
  <c r="AT243" i="21"/>
  <c r="BK243" i="21"/>
  <c r="BE294" i="21"/>
  <c r="BA295" i="21" s="1"/>
  <c r="O285" i="21"/>
  <c r="P285" i="21"/>
  <c r="N285" i="21"/>
  <c r="AX300" i="21"/>
  <c r="AW300" i="21"/>
  <c r="AY300" i="21"/>
  <c r="K288" i="19"/>
  <c r="N287" i="19"/>
  <c r="Y284" i="19"/>
  <c r="U284" i="19"/>
  <c r="AP262" i="21" l="1"/>
  <c r="AL263" i="21" s="1"/>
  <c r="K254" i="21"/>
  <c r="U263" i="21"/>
  <c r="S263" i="21"/>
  <c r="T263" i="21"/>
  <c r="V263" i="21" s="1"/>
  <c r="R264" i="21" s="1"/>
  <c r="AC254" i="21"/>
  <c r="AR254" i="21" s="1"/>
  <c r="AA263" i="21"/>
  <c r="W264" i="21" s="1"/>
  <c r="AO263" i="21"/>
  <c r="AM263" i="21"/>
  <c r="AN263" i="21"/>
  <c r="L254" i="21"/>
  <c r="AQ254" i="21"/>
  <c r="AU243" i="21"/>
  <c r="BZ243" i="21"/>
  <c r="BL243" i="21"/>
  <c r="CA243" i="21" s="1"/>
  <c r="BS243" i="21"/>
  <c r="BT243" i="21" s="1"/>
  <c r="BP244" i="21" s="1"/>
  <c r="Q285" i="21"/>
  <c r="AZ300" i="21"/>
  <c r="AV301" i="21" s="1"/>
  <c r="BC295" i="21"/>
  <c r="BB295" i="21"/>
  <c r="BD295" i="21"/>
  <c r="V284" i="19"/>
  <c r="X284" i="19" s="1"/>
  <c r="S285" i="19" s="1"/>
  <c r="P288" i="19"/>
  <c r="L288" i="19"/>
  <c r="AP263" i="21" l="1"/>
  <c r="AL264" i="21" s="1"/>
  <c r="T264" i="21"/>
  <c r="U264" i="21"/>
  <c r="V264" i="21"/>
  <c r="R265" i="21" s="1"/>
  <c r="S264" i="21"/>
  <c r="AD254" i="21"/>
  <c r="AE254" i="21" s="1"/>
  <c r="AF254" i="21" s="1"/>
  <c r="AN264" i="21"/>
  <c r="AO264" i="21"/>
  <c r="AM264" i="21"/>
  <c r="Z264" i="21"/>
  <c r="X264" i="21"/>
  <c r="Y264" i="21"/>
  <c r="BM243" i="21"/>
  <c r="BN243" i="21" s="1"/>
  <c r="BQ244" i="21"/>
  <c r="BR244" i="21" s="1"/>
  <c r="M286" i="21"/>
  <c r="N286" i="21" s="1"/>
  <c r="AW301" i="21"/>
  <c r="AX301" i="21"/>
  <c r="AY301" i="21"/>
  <c r="BE295" i="21"/>
  <c r="T285" i="19"/>
  <c r="U285" i="19" s="1"/>
  <c r="W284" i="19"/>
  <c r="M288" i="19"/>
  <c r="N288" i="19" s="1"/>
  <c r="AP264" i="21" l="1"/>
  <c r="AL265" i="21" s="1"/>
  <c r="K255" i="21"/>
  <c r="AB255" i="21"/>
  <c r="AD255" i="21" s="1"/>
  <c r="AA264" i="21"/>
  <c r="U265" i="21"/>
  <c r="S265" i="21"/>
  <c r="T265" i="21"/>
  <c r="V265" i="21" s="1"/>
  <c r="AC255" i="21"/>
  <c r="AR255" i="21" s="1"/>
  <c r="AN265" i="21"/>
  <c r="AO265" i="21"/>
  <c r="AM265" i="21"/>
  <c r="AQ255" i="21"/>
  <c r="L255" i="21"/>
  <c r="W265" i="21"/>
  <c r="R266" i="21"/>
  <c r="BO243" i="21"/>
  <c r="AT244" i="21" s="1"/>
  <c r="P286" i="21"/>
  <c r="O286" i="21"/>
  <c r="AZ301" i="21"/>
  <c r="BA296" i="21"/>
  <c r="O288" i="19"/>
  <c r="J289" i="19" s="1"/>
  <c r="V285" i="19"/>
  <c r="X285" i="19" s="1"/>
  <c r="S286" i="19" s="1"/>
  <c r="Y285" i="19"/>
  <c r="AP265" i="21" l="1"/>
  <c r="AL266" i="21" s="1"/>
  <c r="AE255" i="21"/>
  <c r="AF255" i="21" s="1"/>
  <c r="BK244" i="21"/>
  <c r="BL244" i="21" s="1"/>
  <c r="CA244" i="21" s="1"/>
  <c r="Y265" i="21"/>
  <c r="Z265" i="21"/>
  <c r="X265" i="21"/>
  <c r="T266" i="21"/>
  <c r="U266" i="21"/>
  <c r="S266" i="21"/>
  <c r="Q286" i="21"/>
  <c r="M287" i="21" s="1"/>
  <c r="O287" i="21" s="1"/>
  <c r="BZ244" i="21"/>
  <c r="AU244" i="21"/>
  <c r="BB296" i="21"/>
  <c r="BD296" i="21"/>
  <c r="BC296" i="21"/>
  <c r="AV302" i="21"/>
  <c r="W285" i="19"/>
  <c r="K289" i="19"/>
  <c r="L289" i="19" s="1"/>
  <c r="M289" i="19" s="1"/>
  <c r="O289" i="19" s="1"/>
  <c r="J290" i="19" s="1"/>
  <c r="T286" i="19"/>
  <c r="Y286" i="19" s="1"/>
  <c r="AB256" i="21" l="1"/>
  <c r="K256" i="21"/>
  <c r="BS244" i="21"/>
  <c r="BT244" i="21" s="1"/>
  <c r="BP245" i="21" s="1"/>
  <c r="BQ245" i="21" s="1"/>
  <c r="BR245" i="21" s="1"/>
  <c r="AA265" i="21"/>
  <c r="W266" i="21" s="1"/>
  <c r="AO266" i="21"/>
  <c r="AN266" i="21"/>
  <c r="AM266" i="21"/>
  <c r="AP266" i="21"/>
  <c r="AL267" i="21" s="1"/>
  <c r="V266" i="21"/>
  <c r="R267" i="21" s="1"/>
  <c r="N287" i="21"/>
  <c r="P287" i="21"/>
  <c r="Q287" i="21" s="1"/>
  <c r="M288" i="21" s="1"/>
  <c r="BM244" i="21"/>
  <c r="BN244" i="21" s="1"/>
  <c r="BO244" i="21" s="1"/>
  <c r="AT245" i="21" s="1"/>
  <c r="BE296" i="21"/>
  <c r="BA297" i="21" s="1"/>
  <c r="AX302" i="21"/>
  <c r="AY302" i="21"/>
  <c r="AW302" i="21"/>
  <c r="P289" i="19"/>
  <c r="K290" i="19"/>
  <c r="N289" i="19"/>
  <c r="U286" i="19"/>
  <c r="AO267" i="21" l="1"/>
  <c r="AM267" i="21"/>
  <c r="AN267" i="21"/>
  <c r="AQ256" i="21"/>
  <c r="L256" i="21"/>
  <c r="AC256" i="21"/>
  <c r="AR256" i="21" s="1"/>
  <c r="X266" i="21"/>
  <c r="Z266" i="21"/>
  <c r="AA266" i="21" s="1"/>
  <c r="Y266" i="21"/>
  <c r="T267" i="21"/>
  <c r="U267" i="21"/>
  <c r="S267" i="21"/>
  <c r="V267" i="21"/>
  <c r="BK245" i="21"/>
  <c r="BL245" i="21" s="1"/>
  <c r="CA245" i="21" s="1"/>
  <c r="AU245" i="21"/>
  <c r="BZ245" i="21"/>
  <c r="BS245" i="21" s="1"/>
  <c r="BT245" i="21" s="1"/>
  <c r="BP246" i="21" s="1"/>
  <c r="P288" i="21"/>
  <c r="N288" i="21"/>
  <c r="O288" i="21"/>
  <c r="AZ302" i="21"/>
  <c r="BB297" i="21"/>
  <c r="BC297" i="21"/>
  <c r="BD297" i="21"/>
  <c r="V286" i="19"/>
  <c r="X286" i="19" s="1"/>
  <c r="S287" i="19" s="1"/>
  <c r="W286" i="19"/>
  <c r="P290" i="19"/>
  <c r="L290" i="19"/>
  <c r="AP267" i="21" l="1"/>
  <c r="AL268" i="21" s="1"/>
  <c r="AM268" i="21" s="1"/>
  <c r="AD256" i="21"/>
  <c r="AE256" i="21" s="1"/>
  <c r="AF256" i="21" s="1"/>
  <c r="W267" i="21"/>
  <c r="R268" i="21"/>
  <c r="BM245" i="21"/>
  <c r="BN245" i="21" s="1"/>
  <c r="BQ246" i="21"/>
  <c r="BR246" i="21" s="1"/>
  <c r="Q288" i="21"/>
  <c r="M289" i="21" s="1"/>
  <c r="BE297" i="21"/>
  <c r="BA298" i="21" s="1"/>
  <c r="T287" i="19"/>
  <c r="M290" i="19"/>
  <c r="O290" i="19" s="1"/>
  <c r="J291" i="19" s="1"/>
  <c r="AN268" i="21" l="1"/>
  <c r="AO268" i="21"/>
  <c r="AB257" i="21"/>
  <c r="K257" i="21"/>
  <c r="Z267" i="21"/>
  <c r="Y267" i="21"/>
  <c r="X267" i="21"/>
  <c r="U268" i="21"/>
  <c r="T268" i="21"/>
  <c r="S268" i="21"/>
  <c r="BO245" i="21"/>
  <c r="AT246" i="21" s="1"/>
  <c r="AU246" i="21" s="1"/>
  <c r="O289" i="21"/>
  <c r="P289" i="21"/>
  <c r="N289" i="21"/>
  <c r="BD298" i="21"/>
  <c r="BC298" i="21"/>
  <c r="BB298" i="21"/>
  <c r="K291" i="19"/>
  <c r="N290" i="19"/>
  <c r="Y287" i="19"/>
  <c r="U287" i="19"/>
  <c r="AP268" i="21" l="1"/>
  <c r="AL269" i="21" s="1"/>
  <c r="L257" i="21"/>
  <c r="AQ257" i="21"/>
  <c r="AC257" i="21"/>
  <c r="AR257" i="21" s="1"/>
  <c r="V268" i="21"/>
  <c r="R269" i="21" s="1"/>
  <c r="BZ246" i="21"/>
  <c r="BS246" i="21" s="1"/>
  <c r="BT246" i="21" s="1"/>
  <c r="BP247" i="21" s="1"/>
  <c r="BQ247" i="21" s="1"/>
  <c r="BR247" i="21" s="1"/>
  <c r="BK246" i="21"/>
  <c r="BL246" i="21" s="1"/>
  <c r="CA246" i="21" s="1"/>
  <c r="AA267" i="21"/>
  <c r="BE298" i="21"/>
  <c r="BA299" i="21" s="1"/>
  <c r="Q289" i="21"/>
  <c r="P291" i="19"/>
  <c r="V287" i="19"/>
  <c r="X287" i="19" s="1"/>
  <c r="S288" i="19" s="1"/>
  <c r="L291" i="19"/>
  <c r="AO269" i="21" l="1"/>
  <c r="AM269" i="21"/>
  <c r="AN269" i="21"/>
  <c r="AP269" i="21" s="1"/>
  <c r="AL270" i="21" s="1"/>
  <c r="AD257" i="21"/>
  <c r="AE257" i="21" s="1"/>
  <c r="AF257" i="21" s="1"/>
  <c r="AB258" i="21" s="1"/>
  <c r="BM246" i="21"/>
  <c r="BN246" i="21" s="1"/>
  <c r="BO246" i="21" s="1"/>
  <c r="W268" i="21"/>
  <c r="S269" i="21"/>
  <c r="U269" i="21"/>
  <c r="T269" i="21"/>
  <c r="M290" i="21"/>
  <c r="BD299" i="21"/>
  <c r="BB299" i="21"/>
  <c r="BC299" i="21"/>
  <c r="T288" i="19"/>
  <c r="W287" i="19"/>
  <c r="M291" i="19"/>
  <c r="N291" i="19" s="1"/>
  <c r="AO270" i="21" l="1"/>
  <c r="AN270" i="21"/>
  <c r="AP270" i="21" s="1"/>
  <c r="AL271" i="21" s="1"/>
  <c r="AM270" i="21"/>
  <c r="K258" i="21"/>
  <c r="L258" i="21" s="1"/>
  <c r="AC258" i="21"/>
  <c r="AR258" i="21" s="1"/>
  <c r="X268" i="21"/>
  <c r="Z268" i="21"/>
  <c r="Y268" i="21"/>
  <c r="V269" i="21"/>
  <c r="R270" i="21" s="1"/>
  <c r="AT247" i="21"/>
  <c r="BK247" i="21"/>
  <c r="BE299" i="21"/>
  <c r="BA300" i="21" s="1"/>
  <c r="P290" i="21"/>
  <c r="N290" i="21"/>
  <c r="O290" i="21"/>
  <c r="Y288" i="19"/>
  <c r="O291" i="19"/>
  <c r="J292" i="19" s="1"/>
  <c r="U288" i="19"/>
  <c r="AN271" i="21" l="1"/>
  <c r="AO271" i="21"/>
  <c r="AM271" i="21"/>
  <c r="AQ258" i="21"/>
  <c r="AD258" i="21"/>
  <c r="AE258" i="21" s="1"/>
  <c r="AF258" i="21" s="1"/>
  <c r="AA268" i="21"/>
  <c r="Q290" i="21"/>
  <c r="M291" i="21" s="1"/>
  <c r="U270" i="21"/>
  <c r="S270" i="21"/>
  <c r="T270" i="21"/>
  <c r="BL247" i="21"/>
  <c r="CA247" i="21" s="1"/>
  <c r="AU247" i="21"/>
  <c r="BZ247" i="21"/>
  <c r="BS247" i="21" s="1"/>
  <c r="BT247" i="21" s="1"/>
  <c r="BP248" i="21" s="1"/>
  <c r="BB300" i="21"/>
  <c r="BC300" i="21"/>
  <c r="BD300" i="21"/>
  <c r="V288" i="19"/>
  <c r="X288" i="19" s="1"/>
  <c r="S289" i="19" s="1"/>
  <c r="K292" i="19"/>
  <c r="L292" i="19" s="1"/>
  <c r="M292" i="19" s="1"/>
  <c r="W288" i="19"/>
  <c r="AP271" i="21" l="1"/>
  <c r="AL272" i="21" s="1"/>
  <c r="AO272" i="21" s="1"/>
  <c r="AM272" i="21"/>
  <c r="AN272" i="21"/>
  <c r="K259" i="21"/>
  <c r="AB259" i="21"/>
  <c r="V270" i="21"/>
  <c r="R271" i="21" s="1"/>
  <c r="W269" i="21"/>
  <c r="BQ248" i="21"/>
  <c r="BR248" i="21" s="1"/>
  <c r="BM247" i="21"/>
  <c r="BN247" i="21" s="1"/>
  <c r="BO247" i="21" s="1"/>
  <c r="N291" i="21"/>
  <c r="P291" i="21"/>
  <c r="O291" i="21"/>
  <c r="BE300" i="21"/>
  <c r="BA301" i="21" s="1"/>
  <c r="O292" i="19"/>
  <c r="J293" i="19" s="1"/>
  <c r="N292" i="19"/>
  <c r="P292" i="19"/>
  <c r="T289" i="19"/>
  <c r="AP272" i="21" l="1"/>
  <c r="AL273" i="21" s="1"/>
  <c r="AN273" i="21"/>
  <c r="AM273" i="21"/>
  <c r="AO273" i="21"/>
  <c r="L259" i="21"/>
  <c r="AQ259" i="21"/>
  <c r="AC259" i="21"/>
  <c r="AR259" i="21" s="1"/>
  <c r="X269" i="21"/>
  <c r="Y269" i="21"/>
  <c r="Z269" i="21"/>
  <c r="U271" i="21"/>
  <c r="S271" i="21"/>
  <c r="T271" i="21"/>
  <c r="V271" i="21" s="1"/>
  <c r="Q291" i="21"/>
  <c r="M292" i="21" s="1"/>
  <c r="BK248" i="21"/>
  <c r="AT248" i="21"/>
  <c r="BD301" i="21"/>
  <c r="BC301" i="21"/>
  <c r="BB301" i="21"/>
  <c r="Y289" i="19"/>
  <c r="U289" i="19"/>
  <c r="K293" i="19"/>
  <c r="AP273" i="21" l="1"/>
  <c r="AL274" i="21" s="1"/>
  <c r="AA269" i="21"/>
  <c r="AD259" i="21"/>
  <c r="AE259" i="21" s="1"/>
  <c r="AF259" i="21" s="1"/>
  <c r="W270" i="21"/>
  <c r="R272" i="21"/>
  <c r="BL248" i="21"/>
  <c r="CA248" i="21" s="1"/>
  <c r="BS248" i="21"/>
  <c r="BT248" i="21" s="1"/>
  <c r="BP249" i="21" s="1"/>
  <c r="AU248" i="21"/>
  <c r="BZ248" i="21"/>
  <c r="BE301" i="21"/>
  <c r="BA302" i="21" s="1"/>
  <c r="P292" i="21"/>
  <c r="N292" i="21"/>
  <c r="O292" i="21"/>
  <c r="L293" i="19"/>
  <c r="V289" i="19"/>
  <c r="X289" i="19" s="1"/>
  <c r="S290" i="19" s="1"/>
  <c r="P293" i="19"/>
  <c r="AO274" i="21" l="1"/>
  <c r="AM274" i="21"/>
  <c r="AN274" i="21"/>
  <c r="AP274" i="21" s="1"/>
  <c r="AL275" i="21" s="1"/>
  <c r="AB260" i="21"/>
  <c r="K260" i="21"/>
  <c r="Q292" i="21"/>
  <c r="M293" i="21" s="1"/>
  <c r="X270" i="21"/>
  <c r="Z270" i="21"/>
  <c r="Y270" i="21"/>
  <c r="S272" i="21"/>
  <c r="T272" i="21"/>
  <c r="U272" i="21"/>
  <c r="BQ249" i="21"/>
  <c r="BR249" i="21" s="1"/>
  <c r="BM248" i="21"/>
  <c r="BN248" i="21" s="1"/>
  <c r="BO248" i="21" s="1"/>
  <c r="BD302" i="21"/>
  <c r="BB302" i="21"/>
  <c r="BC302" i="21"/>
  <c r="W289" i="19"/>
  <c r="T290" i="19"/>
  <c r="M293" i="19"/>
  <c r="O293" i="19" s="1"/>
  <c r="J294" i="19" s="1"/>
  <c r="AO275" i="21" l="1"/>
  <c r="AM275" i="21"/>
  <c r="AN275" i="21"/>
  <c r="AP275" i="21" s="1"/>
  <c r="AL276" i="21" s="1"/>
  <c r="V272" i="21"/>
  <c r="R273" i="21" s="1"/>
  <c r="AA270" i="21"/>
  <c r="W271" i="21" s="1"/>
  <c r="AQ260" i="21"/>
  <c r="L260" i="21"/>
  <c r="AC260" i="21"/>
  <c r="AR260" i="21" s="1"/>
  <c r="BK249" i="21"/>
  <c r="AT249" i="21"/>
  <c r="O293" i="21"/>
  <c r="N293" i="21"/>
  <c r="P293" i="21"/>
  <c r="BE302" i="21"/>
  <c r="K294" i="19"/>
  <c r="N293" i="19"/>
  <c r="Y290" i="19"/>
  <c r="U290" i="19"/>
  <c r="AO276" i="21" l="1"/>
  <c r="AM276" i="21"/>
  <c r="AN276" i="21"/>
  <c r="AP276" i="21"/>
  <c r="AL277" i="21" s="1"/>
  <c r="AD260" i="21"/>
  <c r="AE260" i="21" s="1"/>
  <c r="AF260" i="21" s="1"/>
  <c r="Y271" i="21"/>
  <c r="X271" i="21"/>
  <c r="Z271" i="21"/>
  <c r="T273" i="21"/>
  <c r="U273" i="21"/>
  <c r="S273" i="21"/>
  <c r="BZ249" i="21"/>
  <c r="BS249" i="21" s="1"/>
  <c r="BT249" i="21" s="1"/>
  <c r="BP250" i="21" s="1"/>
  <c r="AU249" i="21"/>
  <c r="BL249" i="21"/>
  <c r="CA249" i="21" s="1"/>
  <c r="Q293" i="21"/>
  <c r="M294" i="21" s="1"/>
  <c r="V290" i="19"/>
  <c r="X290" i="19"/>
  <c r="S291" i="19" s="1"/>
  <c r="W290" i="19"/>
  <c r="P294" i="19"/>
  <c r="L294" i="19"/>
  <c r="AN277" i="21" l="1"/>
  <c r="AM277" i="21"/>
  <c r="AO277" i="21"/>
  <c r="AP277" i="21" s="1"/>
  <c r="AL278" i="21" s="1"/>
  <c r="AB261" i="21"/>
  <c r="K261" i="21"/>
  <c r="V273" i="21"/>
  <c r="R274" i="21" s="1"/>
  <c r="BM249" i="21"/>
  <c r="BN249" i="21" s="1"/>
  <c r="AA271" i="21"/>
  <c r="BQ250" i="21"/>
  <c r="BR250" i="21" s="1"/>
  <c r="O294" i="21"/>
  <c r="P294" i="21"/>
  <c r="N294" i="21"/>
  <c r="T291" i="19"/>
  <c r="M294" i="19"/>
  <c r="O294" i="19" s="1"/>
  <c r="J295" i="19" s="1"/>
  <c r="AN278" i="21" l="1"/>
  <c r="AO278" i="21"/>
  <c r="AM278" i="21"/>
  <c r="AP278" i="21"/>
  <c r="AL279" i="21" s="1"/>
  <c r="AQ261" i="21"/>
  <c r="L261" i="21"/>
  <c r="AC261" i="21"/>
  <c r="AR261" i="21" s="1"/>
  <c r="W272" i="21"/>
  <c r="BO249" i="21"/>
  <c r="AT250" i="21" s="1"/>
  <c r="T274" i="21"/>
  <c r="U274" i="21"/>
  <c r="S274" i="21"/>
  <c r="Q294" i="21"/>
  <c r="BK250" i="21"/>
  <c r="M295" i="21"/>
  <c r="K295" i="19"/>
  <c r="N294" i="19"/>
  <c r="Y291" i="19"/>
  <c r="U291" i="19"/>
  <c r="AN279" i="21" l="1"/>
  <c r="AM279" i="21"/>
  <c r="AO279" i="21"/>
  <c r="AD261" i="21"/>
  <c r="AE261" i="21" s="1"/>
  <c r="AF261" i="21" s="1"/>
  <c r="AB262" i="21" s="1"/>
  <c r="V274" i="21"/>
  <c r="R275" i="21" s="1"/>
  <c r="Z272" i="21"/>
  <c r="X272" i="21"/>
  <c r="Y272" i="21"/>
  <c r="BL250" i="21"/>
  <c r="CA250" i="21" s="1"/>
  <c r="BZ250" i="21"/>
  <c r="BS250" i="21" s="1"/>
  <c r="BT250" i="21" s="1"/>
  <c r="BP251" i="21" s="1"/>
  <c r="AU250" i="21"/>
  <c r="P295" i="21"/>
  <c r="O295" i="21"/>
  <c r="N295" i="21"/>
  <c r="V291" i="19"/>
  <c r="X291" i="19"/>
  <c r="S292" i="19" s="1"/>
  <c r="W291" i="19"/>
  <c r="P295" i="19"/>
  <c r="L295" i="19"/>
  <c r="AP279" i="21" l="1"/>
  <c r="AL280" i="21" s="1"/>
  <c r="AA272" i="21"/>
  <c r="W273" i="21" s="1"/>
  <c r="K262" i="21"/>
  <c r="L262" i="21" s="1"/>
  <c r="Q295" i="21"/>
  <c r="AQ262" i="21"/>
  <c r="BM250" i="21"/>
  <c r="BN250" i="21" s="1"/>
  <c r="AC262" i="21"/>
  <c r="AR262" i="21" s="1"/>
  <c r="S275" i="21"/>
  <c r="T275" i="21"/>
  <c r="U275" i="21"/>
  <c r="BQ251" i="21"/>
  <c r="BR251" i="21" s="1"/>
  <c r="M296" i="21"/>
  <c r="M295" i="19"/>
  <c r="O295" i="19" s="1"/>
  <c r="J296" i="19" s="1"/>
  <c r="T292" i="19"/>
  <c r="U292" i="19" s="1"/>
  <c r="AM280" i="21" l="1"/>
  <c r="AN280" i="21"/>
  <c r="AO280" i="21"/>
  <c r="BO250" i="21"/>
  <c r="AD262" i="21"/>
  <c r="AE262" i="21" s="1"/>
  <c r="AF262" i="21" s="1"/>
  <c r="V275" i="21"/>
  <c r="R276" i="21" s="1"/>
  <c r="X273" i="21"/>
  <c r="Z273" i="21"/>
  <c r="AA273" i="21" s="1"/>
  <c r="Y273" i="21"/>
  <c r="BK251" i="21"/>
  <c r="AT251" i="21"/>
  <c r="P296" i="21"/>
  <c r="O296" i="21"/>
  <c r="N296" i="21"/>
  <c r="N295" i="19"/>
  <c r="K296" i="19"/>
  <c r="V292" i="19"/>
  <c r="X292" i="19" s="1"/>
  <c r="S293" i="19" s="1"/>
  <c r="Y292" i="19"/>
  <c r="AP280" i="21" l="1"/>
  <c r="AL281" i="21" s="1"/>
  <c r="AN281" i="21" s="1"/>
  <c r="AO281" i="21"/>
  <c r="AM281" i="21"/>
  <c r="AB263" i="21"/>
  <c r="K263" i="21"/>
  <c r="W274" i="21"/>
  <c r="Q296" i="21"/>
  <c r="M297" i="21" s="1"/>
  <c r="S276" i="21"/>
  <c r="T276" i="21"/>
  <c r="U276" i="21"/>
  <c r="BL251" i="21"/>
  <c r="CA251" i="21" s="1"/>
  <c r="BS251" i="21"/>
  <c r="BT251" i="21" s="1"/>
  <c r="BP252" i="21" s="1"/>
  <c r="AU251" i="21"/>
  <c r="BZ251" i="21"/>
  <c r="T293" i="19"/>
  <c r="Y293" i="19" s="1"/>
  <c r="W292" i="19"/>
  <c r="P296" i="19"/>
  <c r="L296" i="19"/>
  <c r="AP281" i="21" l="1"/>
  <c r="AL282" i="21" s="1"/>
  <c r="AC263" i="21"/>
  <c r="AR263" i="21" s="1"/>
  <c r="AQ263" i="21"/>
  <c r="L263" i="21"/>
  <c r="BM251" i="21"/>
  <c r="BN251" i="21" s="1"/>
  <c r="BO251" i="21" s="1"/>
  <c r="AT252" i="21" s="1"/>
  <c r="V276" i="21"/>
  <c r="Z274" i="21"/>
  <c r="Y274" i="21"/>
  <c r="X274" i="21"/>
  <c r="BQ252" i="21"/>
  <c r="BR252" i="21" s="1"/>
  <c r="N297" i="21"/>
  <c r="P297" i="21"/>
  <c r="O297" i="21"/>
  <c r="M296" i="19"/>
  <c r="N296" i="19" s="1"/>
  <c r="U293" i="19"/>
  <c r="AM282" i="21" l="1"/>
  <c r="AN282" i="21"/>
  <c r="AO282" i="21"/>
  <c r="AP282" i="21" s="1"/>
  <c r="AL283" i="21" s="1"/>
  <c r="BK252" i="21"/>
  <c r="AD263" i="21"/>
  <c r="AE263" i="21" s="1"/>
  <c r="AF263" i="21" s="1"/>
  <c r="AA274" i="21"/>
  <c r="W275" i="21" s="1"/>
  <c r="R277" i="21"/>
  <c r="T277" i="21" s="1"/>
  <c r="BL252" i="21"/>
  <c r="CA252" i="21" s="1"/>
  <c r="AU252" i="21"/>
  <c r="BZ252" i="21"/>
  <c r="BS252" i="21" s="1"/>
  <c r="BT252" i="21" s="1"/>
  <c r="BP253" i="21" s="1"/>
  <c r="Q297" i="21"/>
  <c r="M298" i="21" s="1"/>
  <c r="V293" i="19"/>
  <c r="X293" i="19" s="1"/>
  <c r="S294" i="19" s="1"/>
  <c r="O296" i="19"/>
  <c r="J297" i="19" s="1"/>
  <c r="W293" i="19"/>
  <c r="AO283" i="21" l="1"/>
  <c r="AM283" i="21"/>
  <c r="AN283" i="21"/>
  <c r="S277" i="21"/>
  <c r="U277" i="21"/>
  <c r="V277" i="21" s="1"/>
  <c r="R278" i="21" s="1"/>
  <c r="AB264" i="21"/>
  <c r="K264" i="21"/>
  <c r="BM252" i="21"/>
  <c r="BN252" i="21" s="1"/>
  <c r="X275" i="21"/>
  <c r="Y275" i="21"/>
  <c r="Z275" i="21"/>
  <c r="BQ253" i="21"/>
  <c r="BR253" i="21" s="1"/>
  <c r="N298" i="21"/>
  <c r="O298" i="21"/>
  <c r="P298" i="21"/>
  <c r="T294" i="19"/>
  <c r="K297" i="19"/>
  <c r="L297" i="19" s="1"/>
  <c r="AP283" i="21" l="1"/>
  <c r="AL284" i="21" s="1"/>
  <c r="AA275" i="21"/>
  <c r="AQ264" i="21"/>
  <c r="L264" i="21"/>
  <c r="AC264" i="21"/>
  <c r="AR264" i="21" s="1"/>
  <c r="W276" i="21"/>
  <c r="BO252" i="21"/>
  <c r="BK253" i="21" s="1"/>
  <c r="BS253" i="21" s="1"/>
  <c r="BT253" i="21" s="1"/>
  <c r="BP254" i="21" s="1"/>
  <c r="S278" i="21"/>
  <c r="T278" i="21"/>
  <c r="U278" i="21"/>
  <c r="Q298" i="21"/>
  <c r="M299" i="21" s="1"/>
  <c r="M297" i="19"/>
  <c r="O297" i="19" s="1"/>
  <c r="J298" i="19" s="1"/>
  <c r="Y294" i="19"/>
  <c r="P297" i="19"/>
  <c r="U294" i="19"/>
  <c r="AO284" i="21" l="1"/>
  <c r="AM284" i="21"/>
  <c r="AN284" i="21"/>
  <c r="AD264" i="21"/>
  <c r="AE264" i="21" s="1"/>
  <c r="AF264" i="21" s="1"/>
  <c r="K265" i="21" s="1"/>
  <c r="N297" i="19"/>
  <c r="AT253" i="21"/>
  <c r="AU253" i="21" s="1"/>
  <c r="V278" i="21"/>
  <c r="R279" i="21" s="1"/>
  <c r="BQ254" i="21"/>
  <c r="BR254" i="21" s="1"/>
  <c r="Z276" i="21"/>
  <c r="Y276" i="21"/>
  <c r="AA276" i="21" s="1"/>
  <c r="X276" i="21"/>
  <c r="BL253" i="21"/>
  <c r="CA253" i="21" s="1"/>
  <c r="N299" i="21"/>
  <c r="P299" i="21"/>
  <c r="O299" i="21"/>
  <c r="K298" i="19"/>
  <c r="P298" i="19" s="1"/>
  <c r="V294" i="19"/>
  <c r="X294" i="19" s="1"/>
  <c r="S295" i="19" s="1"/>
  <c r="AP284" i="21" l="1"/>
  <c r="AL285" i="21" s="1"/>
  <c r="AN285" i="21"/>
  <c r="AO285" i="21"/>
  <c r="AM285" i="21"/>
  <c r="AP285" i="21"/>
  <c r="AL286" i="21" s="1"/>
  <c r="AB265" i="21"/>
  <c r="BZ253" i="21"/>
  <c r="AC265" i="21"/>
  <c r="AR265" i="21" s="1"/>
  <c r="L265" i="21"/>
  <c r="AQ265" i="21"/>
  <c r="W277" i="21"/>
  <c r="BM253" i="21"/>
  <c r="S279" i="21"/>
  <c r="U279" i="21"/>
  <c r="T279" i="21"/>
  <c r="Q299" i="21"/>
  <c r="T295" i="19"/>
  <c r="W294" i="19"/>
  <c r="L298" i="19"/>
  <c r="AM286" i="21" l="1"/>
  <c r="AN286" i="21"/>
  <c r="AO286" i="21"/>
  <c r="V279" i="21"/>
  <c r="R280" i="21" s="1"/>
  <c r="AD265" i="21"/>
  <c r="Y277" i="21"/>
  <c r="X277" i="21"/>
  <c r="Z277" i="21"/>
  <c r="BN253" i="21"/>
  <c r="BO253" i="21" s="1"/>
  <c r="M300" i="21"/>
  <c r="M298" i="19"/>
  <c r="O298" i="19" s="1"/>
  <c r="J299" i="19" s="1"/>
  <c r="Y295" i="19"/>
  <c r="U295" i="19"/>
  <c r="AP286" i="21" l="1"/>
  <c r="AL287" i="21" s="1"/>
  <c r="AN287" i="21"/>
  <c r="AM287" i="21"/>
  <c r="AO287" i="21"/>
  <c r="AP287" i="21" s="1"/>
  <c r="AL288" i="21" s="1"/>
  <c r="AE265" i="21"/>
  <c r="AF265" i="21" s="1"/>
  <c r="AA277" i="21"/>
  <c r="W278" i="21" s="1"/>
  <c r="BK254" i="21"/>
  <c r="AT254" i="21"/>
  <c r="U280" i="21"/>
  <c r="S280" i="21"/>
  <c r="T280" i="21"/>
  <c r="N300" i="21"/>
  <c r="O300" i="21"/>
  <c r="P300" i="21"/>
  <c r="N298" i="19"/>
  <c r="K299" i="19"/>
  <c r="V295" i="19"/>
  <c r="X295" i="19" s="1"/>
  <c r="S296" i="19" s="1"/>
  <c r="AN288" i="21" l="1"/>
  <c r="AO288" i="21"/>
  <c r="AM288" i="21"/>
  <c r="AB266" i="21"/>
  <c r="K266" i="21"/>
  <c r="V280" i="21"/>
  <c r="R281" i="21" s="1"/>
  <c r="Z278" i="21"/>
  <c r="Y278" i="21"/>
  <c r="X278" i="21"/>
  <c r="BZ254" i="21"/>
  <c r="AU254" i="21"/>
  <c r="BS254" i="21"/>
  <c r="BT254" i="21" s="1"/>
  <c r="BP255" i="21" s="1"/>
  <c r="BL254" i="21"/>
  <c r="CA254" i="21" s="1"/>
  <c r="Q300" i="21"/>
  <c r="M301" i="21" s="1"/>
  <c r="T296" i="19"/>
  <c r="W295" i="19"/>
  <c r="P299" i="19"/>
  <c r="L299" i="19"/>
  <c r="AP288" i="21" l="1"/>
  <c r="AL289" i="21" s="1"/>
  <c r="AO289" i="21"/>
  <c r="AN289" i="21"/>
  <c r="AM289" i="21"/>
  <c r="AP289" i="21"/>
  <c r="AL290" i="21" s="1"/>
  <c r="AC266" i="21"/>
  <c r="AR266" i="21" s="1"/>
  <c r="AQ266" i="21"/>
  <c r="L266" i="21"/>
  <c r="AA278" i="21"/>
  <c r="W279" i="21" s="1"/>
  <c r="BQ255" i="21"/>
  <c r="BR255" i="21" s="1"/>
  <c r="BM254" i="21"/>
  <c r="BN254" i="21" s="1"/>
  <c r="BO254" i="21" s="1"/>
  <c r="S281" i="21"/>
  <c r="U281" i="21"/>
  <c r="T281" i="21"/>
  <c r="N301" i="21"/>
  <c r="P301" i="21"/>
  <c r="O301" i="21"/>
  <c r="M299" i="19"/>
  <c r="O299" i="19" s="1"/>
  <c r="J300" i="19" s="1"/>
  <c r="Y296" i="19"/>
  <c r="U296" i="19"/>
  <c r="AD266" i="21" l="1"/>
  <c r="AE266" i="21"/>
  <c r="AF266" i="21" s="1"/>
  <c r="AM290" i="21"/>
  <c r="AN290" i="21"/>
  <c r="AO290" i="21"/>
  <c r="V281" i="21"/>
  <c r="R282" i="21" s="1"/>
  <c r="AB267" i="21"/>
  <c r="K267" i="21"/>
  <c r="AT255" i="21"/>
  <c r="BK255" i="21"/>
  <c r="Z279" i="21"/>
  <c r="X279" i="21"/>
  <c r="Y279" i="21"/>
  <c r="Q301" i="21"/>
  <c r="N299" i="19"/>
  <c r="V296" i="19"/>
  <c r="X296" i="19" s="1"/>
  <c r="S297" i="19" s="1"/>
  <c r="W296" i="19"/>
  <c r="K300" i="19"/>
  <c r="AP290" i="21" l="1"/>
  <c r="AL291" i="21" s="1"/>
  <c r="L267" i="21"/>
  <c r="AQ267" i="21"/>
  <c r="AC267" i="21"/>
  <c r="AR267" i="21" s="1"/>
  <c r="BL255" i="21"/>
  <c r="CA255" i="21" s="1"/>
  <c r="BS255" i="21"/>
  <c r="BT255" i="21" s="1"/>
  <c r="BP256" i="21" s="1"/>
  <c r="AA279" i="21"/>
  <c r="AU255" i="21"/>
  <c r="BZ255" i="21"/>
  <c r="S282" i="21"/>
  <c r="U282" i="21"/>
  <c r="T282" i="21"/>
  <c r="V282" i="21"/>
  <c r="M302" i="21"/>
  <c r="T297" i="19"/>
  <c r="P300" i="19"/>
  <c r="L300" i="19"/>
  <c r="AM291" i="21" l="1"/>
  <c r="AN291" i="21"/>
  <c r="AO291" i="21"/>
  <c r="AD267" i="21"/>
  <c r="AE267" i="21" s="1"/>
  <c r="AF267" i="21" s="1"/>
  <c r="BQ256" i="21"/>
  <c r="BR256" i="21" s="1"/>
  <c r="BM255" i="21"/>
  <c r="W280" i="21"/>
  <c r="R283" i="21"/>
  <c r="N302" i="21"/>
  <c r="P302" i="21"/>
  <c r="O302" i="21"/>
  <c r="M300" i="19"/>
  <c r="N300" i="19" s="1"/>
  <c r="Y297" i="19"/>
  <c r="U297" i="19"/>
  <c r="AP291" i="21" l="1"/>
  <c r="AL292" i="21" s="1"/>
  <c r="K268" i="21"/>
  <c r="AB268" i="21"/>
  <c r="Z280" i="21"/>
  <c r="X280" i="21"/>
  <c r="Y280" i="21"/>
  <c r="BN255" i="21"/>
  <c r="BO255" i="21" s="1"/>
  <c r="Q302" i="21"/>
  <c r="T283" i="21"/>
  <c r="U283" i="21"/>
  <c r="S283" i="21"/>
  <c r="V297" i="19"/>
  <c r="X297" i="19" s="1"/>
  <c r="S298" i="19" s="1"/>
  <c r="O300" i="19"/>
  <c r="J301" i="19" s="1"/>
  <c r="AA280" i="21" l="1"/>
  <c r="AO292" i="21"/>
  <c r="AN292" i="21"/>
  <c r="AP292" i="21" s="1"/>
  <c r="AL293" i="21" s="1"/>
  <c r="AM292" i="21"/>
  <c r="AC268" i="21"/>
  <c r="AR268" i="21" s="1"/>
  <c r="L268" i="21"/>
  <c r="AQ268" i="21"/>
  <c r="BK256" i="21"/>
  <c r="AT256" i="21"/>
  <c r="W281" i="21"/>
  <c r="V283" i="21"/>
  <c r="R284" i="21" s="1"/>
  <c r="W297" i="19"/>
  <c r="K301" i="19"/>
  <c r="T298" i="19"/>
  <c r="AD268" i="21" l="1"/>
  <c r="AM293" i="21"/>
  <c r="AN293" i="21"/>
  <c r="AO293" i="21"/>
  <c r="AP293" i="21"/>
  <c r="AL294" i="21" s="1"/>
  <c r="AE268" i="21"/>
  <c r="AF268" i="21" s="1"/>
  <c r="Y281" i="21"/>
  <c r="Z281" i="21"/>
  <c r="X281" i="21"/>
  <c r="AU256" i="21"/>
  <c r="BZ256" i="21"/>
  <c r="BL256" i="21"/>
  <c r="CA256" i="21" s="1"/>
  <c r="BS256" i="21"/>
  <c r="BT256" i="21" s="1"/>
  <c r="BP257" i="21" s="1"/>
  <c r="T284" i="21"/>
  <c r="U284" i="21"/>
  <c r="S284" i="21"/>
  <c r="Y298" i="19"/>
  <c r="P301" i="19"/>
  <c r="U298" i="19"/>
  <c r="L301" i="19"/>
  <c r="AO294" i="21" l="1"/>
  <c r="AN294" i="21"/>
  <c r="AM294" i="21"/>
  <c r="AA281" i="21"/>
  <c r="W282" i="21" s="1"/>
  <c r="AB269" i="21"/>
  <c r="K269" i="21"/>
  <c r="BM256" i="21"/>
  <c r="BQ257" i="21"/>
  <c r="BR257" i="21" s="1"/>
  <c r="BN256" i="21"/>
  <c r="BO256" i="21" s="1"/>
  <c r="V284" i="21"/>
  <c r="R285" i="21" s="1"/>
  <c r="M301" i="19"/>
  <c r="O301" i="19" s="1"/>
  <c r="J302" i="19" s="1"/>
  <c r="V298" i="19"/>
  <c r="X298" i="19" s="1"/>
  <c r="S299" i="19" s="1"/>
  <c r="AP294" i="21" l="1"/>
  <c r="AL295" i="21" s="1"/>
  <c r="AQ269" i="21"/>
  <c r="L269" i="21"/>
  <c r="AC269" i="21"/>
  <c r="AR269" i="21" s="1"/>
  <c r="AT257" i="21"/>
  <c r="BK257" i="21"/>
  <c r="Z282" i="21"/>
  <c r="Y282" i="21"/>
  <c r="AA282" i="21" s="1"/>
  <c r="X282" i="21"/>
  <c r="T285" i="21"/>
  <c r="U285" i="21"/>
  <c r="S285" i="21"/>
  <c r="N301" i="19"/>
  <c r="W298" i="19"/>
  <c r="T299" i="19"/>
  <c r="K302" i="19"/>
  <c r="AM295" i="21" l="1"/>
  <c r="AN295" i="21"/>
  <c r="AO295" i="21"/>
  <c r="AP295" i="21" s="1"/>
  <c r="AL296" i="21" s="1"/>
  <c r="V285" i="21"/>
  <c r="R286" i="21" s="1"/>
  <c r="AD269" i="21"/>
  <c r="AE269" i="21" s="1"/>
  <c r="AF269" i="21" s="1"/>
  <c r="W283" i="21"/>
  <c r="BL257" i="21"/>
  <c r="CA257" i="21" s="1"/>
  <c r="BS257" i="21"/>
  <c r="BT257" i="21" s="1"/>
  <c r="BP258" i="21" s="1"/>
  <c r="AU257" i="21"/>
  <c r="BZ257" i="21"/>
  <c r="P302" i="19"/>
  <c r="L302" i="19"/>
  <c r="Y299" i="19"/>
  <c r="U299" i="19"/>
  <c r="AN296" i="21" l="1"/>
  <c r="AO296" i="21"/>
  <c r="AP296" i="21"/>
  <c r="AL297" i="21" s="1"/>
  <c r="AM296" i="21"/>
  <c r="BM257" i="21"/>
  <c r="BN257" i="21" s="1"/>
  <c r="BO257" i="21" s="1"/>
  <c r="AB270" i="21"/>
  <c r="K270" i="21"/>
  <c r="BQ258" i="21"/>
  <c r="BR258" i="21"/>
  <c r="Z283" i="21"/>
  <c r="Y283" i="21"/>
  <c r="X283" i="21"/>
  <c r="U286" i="21"/>
  <c r="S286" i="21"/>
  <c r="T286" i="21"/>
  <c r="V299" i="19"/>
  <c r="X299" i="19"/>
  <c r="S300" i="19" s="1"/>
  <c r="W299" i="19"/>
  <c r="M302" i="19"/>
  <c r="O302" i="19" s="1"/>
  <c r="J303" i="19" s="1"/>
  <c r="AN297" i="21" l="1"/>
  <c r="AM297" i="21"/>
  <c r="AO297" i="21"/>
  <c r="AP297" i="21" s="1"/>
  <c r="AL298" i="21" s="1"/>
  <c r="V286" i="21"/>
  <c r="AT258" i="21"/>
  <c r="BK258" i="21"/>
  <c r="BS258" i="21" s="1"/>
  <c r="BT258" i="21" s="1"/>
  <c r="BP259" i="21" s="1"/>
  <c r="BQ259" i="21" s="1"/>
  <c r="BR259" i="21" s="1"/>
  <c r="AQ270" i="21"/>
  <c r="L270" i="21"/>
  <c r="AC270" i="21"/>
  <c r="AR270" i="21" s="1"/>
  <c r="AA283" i="21"/>
  <c r="W284" i="21" s="1"/>
  <c r="BL258" i="21"/>
  <c r="CA258" i="21" s="1"/>
  <c r="AU258" i="21"/>
  <c r="BZ258" i="21"/>
  <c r="R287" i="21"/>
  <c r="K303" i="19"/>
  <c r="N302" i="19"/>
  <c r="T300" i="19"/>
  <c r="U300" i="19" s="1"/>
  <c r="AN298" i="21" l="1"/>
  <c r="AM298" i="21"/>
  <c r="AO298" i="21"/>
  <c r="AP298" i="21"/>
  <c r="AL299" i="21" s="1"/>
  <c r="AD270" i="21"/>
  <c r="BM258" i="21"/>
  <c r="AE270" i="21"/>
  <c r="AF270" i="21" s="1"/>
  <c r="AB271" i="21" s="1"/>
  <c r="BN258" i="21"/>
  <c r="BO258" i="21" s="1"/>
  <c r="BK259" i="21" s="1"/>
  <c r="Y284" i="21"/>
  <c r="X284" i="21"/>
  <c r="Z284" i="21"/>
  <c r="T287" i="21"/>
  <c r="U287" i="21"/>
  <c r="S287" i="21"/>
  <c r="V300" i="19"/>
  <c r="X300" i="19" s="1"/>
  <c r="S301" i="19" s="1"/>
  <c r="P303" i="19"/>
  <c r="Y300" i="19"/>
  <c r="L303" i="19"/>
  <c r="AN299" i="21" l="1"/>
  <c r="AO299" i="21"/>
  <c r="AM299" i="21"/>
  <c r="AP299" i="21"/>
  <c r="AL300" i="21" s="1"/>
  <c r="V287" i="21"/>
  <c r="K271" i="21"/>
  <c r="L271" i="21" s="1"/>
  <c r="AT259" i="21"/>
  <c r="BZ259" i="21" s="1"/>
  <c r="AC271" i="21"/>
  <c r="AR271" i="21" s="1"/>
  <c r="AA284" i="21"/>
  <c r="W285" i="21" s="1"/>
  <c r="BL259" i="21"/>
  <c r="CA259" i="21" s="1"/>
  <c r="BS259" i="21"/>
  <c r="BT259" i="21" s="1"/>
  <c r="BP260" i="21" s="1"/>
  <c r="R288" i="21"/>
  <c r="W300" i="19"/>
  <c r="M303" i="19"/>
  <c r="O303" i="19" s="1"/>
  <c r="J304" i="19" s="1"/>
  <c r="T301" i="19"/>
  <c r="AQ271" i="21" l="1"/>
  <c r="AM300" i="21"/>
  <c r="AN300" i="21"/>
  <c r="AO300" i="21"/>
  <c r="AP300" i="21"/>
  <c r="AL301" i="21" s="1"/>
  <c r="AD271" i="21"/>
  <c r="AE271" i="21" s="1"/>
  <c r="AF271" i="21" s="1"/>
  <c r="AB272" i="21" s="1"/>
  <c r="AU259" i="21"/>
  <c r="BQ260" i="21"/>
  <c r="BR260" i="21" s="1"/>
  <c r="BM259" i="21"/>
  <c r="Z285" i="21"/>
  <c r="X285" i="21"/>
  <c r="Y285" i="21"/>
  <c r="T288" i="21"/>
  <c r="U288" i="21"/>
  <c r="S288" i="21"/>
  <c r="N303" i="19"/>
  <c r="K304" i="19"/>
  <c r="U301" i="19"/>
  <c r="Y301" i="19"/>
  <c r="AN301" i="21" l="1"/>
  <c r="AM301" i="21"/>
  <c r="AO301" i="21"/>
  <c r="AP301" i="21" s="1"/>
  <c r="AL302" i="21" s="1"/>
  <c r="AA285" i="21"/>
  <c r="W286" i="21" s="1"/>
  <c r="K272" i="21"/>
  <c r="V288" i="21"/>
  <c r="R289" i="21" s="1"/>
  <c r="AQ272" i="21"/>
  <c r="L272" i="21"/>
  <c r="AC272" i="21"/>
  <c r="AR272" i="21" s="1"/>
  <c r="BN259" i="21"/>
  <c r="BO259" i="21" s="1"/>
  <c r="P304" i="19"/>
  <c r="V301" i="19"/>
  <c r="X301" i="19" s="1"/>
  <c r="S302" i="19" s="1"/>
  <c r="L304" i="19"/>
  <c r="W301" i="19"/>
  <c r="AM302" i="21" l="1"/>
  <c r="AN302" i="21"/>
  <c r="AO302" i="21"/>
  <c r="AD272" i="21"/>
  <c r="AE272" i="21" s="1"/>
  <c r="AF272" i="21" s="1"/>
  <c r="K273" i="21" s="1"/>
  <c r="BK260" i="21"/>
  <c r="AT260" i="21"/>
  <c r="X286" i="21"/>
  <c r="Z286" i="21"/>
  <c r="Y286" i="21"/>
  <c r="T289" i="21"/>
  <c r="U289" i="21"/>
  <c r="S289" i="21"/>
  <c r="T302" i="19"/>
  <c r="M304" i="19"/>
  <c r="O304" i="19" s="1"/>
  <c r="J305" i="19" s="1"/>
  <c r="AP302" i="21" l="1"/>
  <c r="AB273" i="21"/>
  <c r="AC273" i="21" s="1"/>
  <c r="AR273" i="21" s="1"/>
  <c r="AA286" i="21"/>
  <c r="W287" i="21" s="1"/>
  <c r="AQ273" i="21"/>
  <c r="L273" i="21"/>
  <c r="BZ260" i="21"/>
  <c r="AU260" i="21"/>
  <c r="BL260" i="21"/>
  <c r="CA260" i="21" s="1"/>
  <c r="BS260" i="21"/>
  <c r="BT260" i="21" s="1"/>
  <c r="BP261" i="21" s="1"/>
  <c r="V289" i="21"/>
  <c r="K305" i="19"/>
  <c r="N304" i="19"/>
  <c r="Y302" i="19"/>
  <c r="U302" i="19"/>
  <c r="AD273" i="21" l="1"/>
  <c r="AE273" i="21"/>
  <c r="AF273" i="21" s="1"/>
  <c r="BQ261" i="21"/>
  <c r="BR261" i="21" s="1"/>
  <c r="BM260" i="21"/>
  <c r="Y287" i="21"/>
  <c r="X287" i="21"/>
  <c r="Z287" i="21"/>
  <c r="R290" i="21"/>
  <c r="V302" i="19"/>
  <c r="X302" i="19" s="1"/>
  <c r="S303" i="19" s="1"/>
  <c r="P305" i="19"/>
  <c r="L305" i="19"/>
  <c r="K274" i="21" l="1"/>
  <c r="AB274" i="21"/>
  <c r="AA287" i="21"/>
  <c r="W288" i="21" s="1"/>
  <c r="BN260" i="21"/>
  <c r="BO260" i="21" s="1"/>
  <c r="S290" i="21"/>
  <c r="T290" i="21"/>
  <c r="U290" i="21"/>
  <c r="W302" i="19"/>
  <c r="M305" i="19"/>
  <c r="O305" i="19" s="1"/>
  <c r="J306" i="19" s="1"/>
  <c r="T303" i="19"/>
  <c r="U303" i="19" s="1"/>
  <c r="AC274" i="21" l="1"/>
  <c r="AR274" i="21" s="1"/>
  <c r="L274" i="21"/>
  <c r="AQ274" i="21"/>
  <c r="AT261" i="21"/>
  <c r="BK261" i="21"/>
  <c r="V290" i="21"/>
  <c r="X288" i="21"/>
  <c r="Y288" i="21"/>
  <c r="Z288" i="21"/>
  <c r="N305" i="19"/>
  <c r="K306" i="19"/>
  <c r="L306" i="19"/>
  <c r="V303" i="19"/>
  <c r="X303" i="19" s="1"/>
  <c r="S304" i="19" s="1"/>
  <c r="Y303" i="19"/>
  <c r="AD274" i="21" l="1"/>
  <c r="AE274" i="21"/>
  <c r="AF274" i="21" s="1"/>
  <c r="AA288" i="21"/>
  <c r="W289" i="21" s="1"/>
  <c r="R291" i="21"/>
  <c r="S291" i="21" s="1"/>
  <c r="BL261" i="21"/>
  <c r="CA261" i="21" s="1"/>
  <c r="BS261" i="21"/>
  <c r="BT261" i="21" s="1"/>
  <c r="BP262" i="21" s="1"/>
  <c r="BZ261" i="21"/>
  <c r="AU261" i="21"/>
  <c r="T304" i="19"/>
  <c r="Y304" i="19" s="1"/>
  <c r="W303" i="19"/>
  <c r="M306" i="19"/>
  <c r="N306" i="19" s="1"/>
  <c r="P306" i="19"/>
  <c r="AB275" i="21" l="1"/>
  <c r="AC275" i="21" s="1"/>
  <c r="AR275" i="21" s="1"/>
  <c r="K275" i="21"/>
  <c r="BM261" i="21"/>
  <c r="U291" i="21"/>
  <c r="T291" i="21"/>
  <c r="BN261" i="21"/>
  <c r="BQ262" i="21"/>
  <c r="BR262" i="21" s="1"/>
  <c r="AD275" i="21"/>
  <c r="X289" i="21"/>
  <c r="Z289" i="21"/>
  <c r="Y289" i="21"/>
  <c r="AA289" i="21"/>
  <c r="O306" i="19"/>
  <c r="J307" i="19" s="1"/>
  <c r="U304" i="19"/>
  <c r="BO261" i="21" l="1"/>
  <c r="AQ275" i="21"/>
  <c r="L275" i="21"/>
  <c r="V291" i="21"/>
  <c r="R292" i="21" s="1"/>
  <c r="T292" i="21" s="1"/>
  <c r="BK262" i="21"/>
  <c r="AT262" i="21"/>
  <c r="AE275" i="21"/>
  <c r="AF275" i="21" s="1"/>
  <c r="W290" i="21"/>
  <c r="V304" i="19"/>
  <c r="X304" i="19" s="1"/>
  <c r="S305" i="19" s="1"/>
  <c r="W304" i="19"/>
  <c r="K307" i="19"/>
  <c r="L307" i="19" s="1"/>
  <c r="M307" i="19" s="1"/>
  <c r="U292" i="21" l="1"/>
  <c r="V292" i="21" s="1"/>
  <c r="R293" i="21" s="1"/>
  <c r="S292" i="21"/>
  <c r="AB276" i="21"/>
  <c r="K276" i="21"/>
  <c r="Y290" i="21"/>
  <c r="Z290" i="21"/>
  <c r="X290" i="21"/>
  <c r="BZ262" i="21"/>
  <c r="AU262" i="21"/>
  <c r="BL262" i="21"/>
  <c r="CA262" i="21" s="1"/>
  <c r="BS262" i="21"/>
  <c r="BT262" i="21" s="1"/>
  <c r="BP263" i="21" s="1"/>
  <c r="T305" i="19"/>
  <c r="O307" i="19"/>
  <c r="J308" i="19" s="1"/>
  <c r="N307" i="19"/>
  <c r="P307" i="19"/>
  <c r="AA290" i="21" l="1"/>
  <c r="BM262" i="21"/>
  <c r="BN262" i="21"/>
  <c r="BO262" i="21" s="1"/>
  <c r="BK263" i="21" s="1"/>
  <c r="BS263" i="21" s="1"/>
  <c r="W291" i="21"/>
  <c r="AQ276" i="21"/>
  <c r="L276" i="21"/>
  <c r="BQ263" i="21"/>
  <c r="BR263" i="21" s="1"/>
  <c r="AC276" i="21"/>
  <c r="AR276" i="21" s="1"/>
  <c r="U293" i="21"/>
  <c r="T293" i="21"/>
  <c r="S293" i="21"/>
  <c r="K308" i="19"/>
  <c r="L308" i="19" s="1"/>
  <c r="Y305" i="19"/>
  <c r="U305" i="19"/>
  <c r="V293" i="21" l="1"/>
  <c r="AT263" i="21"/>
  <c r="AD276" i="21"/>
  <c r="AE276" i="21" s="1"/>
  <c r="AF276" i="21" s="1"/>
  <c r="Y291" i="21"/>
  <c r="X291" i="21"/>
  <c r="Z291" i="21"/>
  <c r="AA291" i="21" s="1"/>
  <c r="BT263" i="21"/>
  <c r="BP264" i="21" s="1"/>
  <c r="BL263" i="21"/>
  <c r="CA263" i="21" s="1"/>
  <c r="BZ263" i="21"/>
  <c r="AU263" i="21"/>
  <c r="R294" i="21"/>
  <c r="P308" i="19"/>
  <c r="V305" i="19"/>
  <c r="X305" i="19" s="1"/>
  <c r="S306" i="19" s="1"/>
  <c r="M308" i="19"/>
  <c r="O308" i="19" s="1"/>
  <c r="J309" i="19" s="1"/>
  <c r="AB277" i="21" l="1"/>
  <c r="K277" i="21"/>
  <c r="BQ264" i="21"/>
  <c r="BR264" i="21" s="1"/>
  <c r="L277" i="21"/>
  <c r="AQ277" i="21"/>
  <c r="W292" i="21"/>
  <c r="BM263" i="21"/>
  <c r="AC277" i="21"/>
  <c r="AR277" i="21" s="1"/>
  <c r="S294" i="21"/>
  <c r="U294" i="21"/>
  <c r="T294" i="21"/>
  <c r="V294" i="21" s="1"/>
  <c r="W305" i="19"/>
  <c r="K309" i="19"/>
  <c r="L309" i="19" s="1"/>
  <c r="M309" i="19" s="1"/>
  <c r="T306" i="19"/>
  <c r="U306" i="19"/>
  <c r="V306" i="19" s="1"/>
  <c r="N308" i="19"/>
  <c r="AD277" i="21" l="1"/>
  <c r="AE277" i="21" s="1"/>
  <c r="AF277" i="21" s="1"/>
  <c r="Y292" i="21"/>
  <c r="Z292" i="21"/>
  <c r="X292" i="21"/>
  <c r="BN263" i="21"/>
  <c r="BO263" i="21" s="1"/>
  <c r="R295" i="21"/>
  <c r="X306" i="19"/>
  <c r="S307" i="19" s="1"/>
  <c r="W306" i="19"/>
  <c r="Y306" i="19"/>
  <c r="O309" i="19"/>
  <c r="J310" i="19" s="1"/>
  <c r="N309" i="19"/>
  <c r="P309" i="19"/>
  <c r="AA292" i="21" l="1"/>
  <c r="AB278" i="21"/>
  <c r="AC278" i="21" s="1"/>
  <c r="AR278" i="21" s="1"/>
  <c r="K278" i="21"/>
  <c r="W293" i="21"/>
  <c r="AT264" i="21"/>
  <c r="BK264" i="21"/>
  <c r="L278" i="21"/>
  <c r="AQ278" i="21"/>
  <c r="S295" i="21"/>
  <c r="T295" i="21"/>
  <c r="U295" i="21"/>
  <c r="V295" i="21"/>
  <c r="K310" i="19"/>
  <c r="L310" i="19"/>
  <c r="P310" i="19"/>
  <c r="T307" i="19"/>
  <c r="Y307" i="19" s="1"/>
  <c r="AU264" i="21" l="1"/>
  <c r="BZ264" i="21"/>
  <c r="BL264" i="21"/>
  <c r="CA264" i="21" s="1"/>
  <c r="BS264" i="21"/>
  <c r="BT264" i="21" s="1"/>
  <c r="BP265" i="21" s="1"/>
  <c r="AD278" i="21"/>
  <c r="Z293" i="21"/>
  <c r="Y293" i="21"/>
  <c r="AA293" i="21" s="1"/>
  <c r="X293" i="21"/>
  <c r="R296" i="21"/>
  <c r="U307" i="19"/>
  <c r="V307" i="19" s="1"/>
  <c r="X307" i="19" s="1"/>
  <c r="S308" i="19" s="1"/>
  <c r="T308" i="19" s="1"/>
  <c r="Y308" i="19" s="1"/>
  <c r="M310" i="19"/>
  <c r="N310" i="19" s="1"/>
  <c r="BM264" i="21" l="1"/>
  <c r="W294" i="21"/>
  <c r="AE278" i="21"/>
  <c r="AF278" i="21" s="1"/>
  <c r="BQ265" i="21"/>
  <c r="BR265" i="21" s="1"/>
  <c r="U296" i="21"/>
  <c r="T296" i="21"/>
  <c r="V296" i="21" s="1"/>
  <c r="S296" i="21"/>
  <c r="W307" i="19"/>
  <c r="U308" i="19"/>
  <c r="V308" i="19" s="1"/>
  <c r="W308" i="19" s="1"/>
  <c r="O310" i="19"/>
  <c r="J311" i="19" s="1"/>
  <c r="AB279" i="21" l="1"/>
  <c r="K279" i="21"/>
  <c r="Z294" i="21"/>
  <c r="Y294" i="21"/>
  <c r="AA294" i="21" s="1"/>
  <c r="X294" i="21"/>
  <c r="BN264" i="21"/>
  <c r="BO264" i="21" s="1"/>
  <c r="R297" i="21"/>
  <c r="X308" i="19"/>
  <c r="S309" i="19" s="1"/>
  <c r="K311" i="19"/>
  <c r="L311" i="19" s="1"/>
  <c r="M311" i="19" s="1"/>
  <c r="T309" i="19"/>
  <c r="U309" i="19"/>
  <c r="V309" i="19" s="1"/>
  <c r="AT265" i="21" l="1"/>
  <c r="BK265" i="21"/>
  <c r="W295" i="21"/>
  <c r="AQ279" i="21"/>
  <c r="L279" i="21"/>
  <c r="AC279" i="21"/>
  <c r="AR279" i="21" s="1"/>
  <c r="U297" i="21"/>
  <c r="S297" i="21"/>
  <c r="T297" i="21"/>
  <c r="W309" i="19"/>
  <c r="Y309" i="19"/>
  <c r="X309" i="19"/>
  <c r="S310" i="19" s="1"/>
  <c r="O311" i="19"/>
  <c r="J312" i="19" s="1"/>
  <c r="N311" i="19"/>
  <c r="P311" i="19"/>
  <c r="V297" i="21" l="1"/>
  <c r="R298" i="21" s="1"/>
  <c r="AD279" i="21"/>
  <c r="AE279" i="21" s="1"/>
  <c r="AF279" i="21" s="1"/>
  <c r="Z295" i="21"/>
  <c r="Y295" i="21"/>
  <c r="AA295" i="21" s="1"/>
  <c r="X295" i="21"/>
  <c r="BL265" i="21"/>
  <c r="CA265" i="21" s="1"/>
  <c r="BS265" i="21"/>
  <c r="BT265" i="21" s="1"/>
  <c r="BP266" i="21" s="1"/>
  <c r="AU265" i="21"/>
  <c r="BZ265" i="21"/>
  <c r="K312" i="19"/>
  <c r="P312" i="19" s="1"/>
  <c r="L312" i="19"/>
  <c r="T310" i="19"/>
  <c r="U310" i="19"/>
  <c r="BM265" i="21" l="1"/>
  <c r="W296" i="21"/>
  <c r="AB280" i="21"/>
  <c r="K280" i="21"/>
  <c r="BQ266" i="21"/>
  <c r="BR266" i="21" s="1"/>
  <c r="U298" i="21"/>
  <c r="T298" i="21"/>
  <c r="S298" i="21"/>
  <c r="V310" i="19"/>
  <c r="W310" i="19" s="1"/>
  <c r="M312" i="19"/>
  <c r="O312" i="19" s="1"/>
  <c r="J313" i="19" s="1"/>
  <c r="Y310" i="19"/>
  <c r="V298" i="21" l="1"/>
  <c r="BN265" i="21"/>
  <c r="BO265" i="21" s="1"/>
  <c r="AQ280" i="21"/>
  <c r="L280" i="21"/>
  <c r="Z296" i="21"/>
  <c r="X296" i="21"/>
  <c r="Y296" i="21"/>
  <c r="AC280" i="21"/>
  <c r="AR280" i="21" s="1"/>
  <c r="R299" i="21"/>
  <c r="X310" i="19"/>
  <c r="S311" i="19" s="1"/>
  <c r="K313" i="19"/>
  <c r="L313" i="19" s="1"/>
  <c r="M313" i="19" s="1"/>
  <c r="O313" i="19" s="1"/>
  <c r="J314" i="19" s="1"/>
  <c r="T311" i="19"/>
  <c r="U311" i="19"/>
  <c r="V311" i="19" s="1"/>
  <c r="N312" i="19"/>
  <c r="AA296" i="21" l="1"/>
  <c r="BK266" i="21"/>
  <c r="AT266" i="21"/>
  <c r="W297" i="21"/>
  <c r="AD280" i="21"/>
  <c r="AE280" i="21" s="1"/>
  <c r="AF280" i="21" s="1"/>
  <c r="U299" i="21"/>
  <c r="S299" i="21"/>
  <c r="T299" i="21"/>
  <c r="K314" i="19"/>
  <c r="L314" i="19"/>
  <c r="X311" i="19"/>
  <c r="S312" i="19" s="1"/>
  <c r="W311" i="19"/>
  <c r="Y311" i="19"/>
  <c r="N313" i="19"/>
  <c r="P313" i="19"/>
  <c r="BZ266" i="21" l="1"/>
  <c r="AU266" i="21"/>
  <c r="BS266" i="21"/>
  <c r="BT266" i="21" s="1"/>
  <c r="BP267" i="21" s="1"/>
  <c r="BQ267" i="21" s="1"/>
  <c r="BR267" i="21" s="1"/>
  <c r="BL266" i="21"/>
  <c r="AB281" i="21"/>
  <c r="K281" i="21"/>
  <c r="V299" i="21"/>
  <c r="Z297" i="21"/>
  <c r="Y297" i="21"/>
  <c r="X297" i="21"/>
  <c r="T312" i="19"/>
  <c r="Y312" i="19" s="1"/>
  <c r="U312" i="19"/>
  <c r="V312" i="19" s="1"/>
  <c r="M314" i="19"/>
  <c r="O314" i="19" s="1"/>
  <c r="J315" i="19" s="1"/>
  <c r="P314" i="19"/>
  <c r="AA297" i="21" l="1"/>
  <c r="CA266" i="21"/>
  <c r="BM266" i="21"/>
  <c r="BN266" i="21" s="1"/>
  <c r="BO266" i="21" s="1"/>
  <c r="AT267" i="21" s="1"/>
  <c r="W298" i="21"/>
  <c r="AQ281" i="21"/>
  <c r="L281" i="21"/>
  <c r="R300" i="21"/>
  <c r="U300" i="21" s="1"/>
  <c r="AC281" i="21"/>
  <c r="AR281" i="21" s="1"/>
  <c r="K315" i="19"/>
  <c r="P315" i="19" s="1"/>
  <c r="L315" i="19"/>
  <c r="M315" i="19" s="1"/>
  <c r="X312" i="19"/>
  <c r="S313" i="19" s="1"/>
  <c r="W312" i="19"/>
  <c r="N314" i="19"/>
  <c r="AD281" i="21" l="1"/>
  <c r="BK267" i="21"/>
  <c r="AE281" i="21"/>
  <c r="AF281" i="21" s="1"/>
  <c r="BZ267" i="21"/>
  <c r="AU267" i="21"/>
  <c r="T300" i="21"/>
  <c r="V300" i="21" s="1"/>
  <c r="BL267" i="21"/>
  <c r="CA267" i="21" s="1"/>
  <c r="BS267" i="21"/>
  <c r="BT267" i="21" s="1"/>
  <c r="BP268" i="21" s="1"/>
  <c r="S300" i="21"/>
  <c r="Y298" i="21"/>
  <c r="X298" i="21"/>
  <c r="Z298" i="21"/>
  <c r="AA298" i="21"/>
  <c r="T313" i="19"/>
  <c r="U313" i="19"/>
  <c r="V313" i="19" s="1"/>
  <c r="O315" i="19"/>
  <c r="J316" i="19" s="1"/>
  <c r="N315" i="19"/>
  <c r="R301" i="21" l="1"/>
  <c r="U301" i="21" s="1"/>
  <c r="AB282" i="21"/>
  <c r="K282" i="21"/>
  <c r="W299" i="21"/>
  <c r="BQ268" i="21"/>
  <c r="BR268" i="21" s="1"/>
  <c r="BM267" i="21"/>
  <c r="T301" i="21"/>
  <c r="S301" i="21"/>
  <c r="K316" i="19"/>
  <c r="L316" i="19"/>
  <c r="W313" i="19"/>
  <c r="Y313" i="19"/>
  <c r="X313" i="19"/>
  <c r="S314" i="19" s="1"/>
  <c r="AQ282" i="21" l="1"/>
  <c r="L282" i="21"/>
  <c r="Y299" i="21"/>
  <c r="X299" i="21"/>
  <c r="Z299" i="21"/>
  <c r="AA299" i="21"/>
  <c r="AC282" i="21"/>
  <c r="AR282" i="21" s="1"/>
  <c r="V301" i="21"/>
  <c r="R302" i="21" s="1"/>
  <c r="BN267" i="21"/>
  <c r="BO267" i="21" s="1"/>
  <c r="T314" i="19"/>
  <c r="Y314" i="19" s="1"/>
  <c r="U314" i="19"/>
  <c r="V314" i="19" s="1"/>
  <c r="M316" i="19"/>
  <c r="O316" i="19" s="1"/>
  <c r="J317" i="19" s="1"/>
  <c r="P316" i="19"/>
  <c r="AT268" i="21" l="1"/>
  <c r="BK268" i="21"/>
  <c r="W300" i="21"/>
  <c r="AD282" i="21"/>
  <c r="U302" i="21"/>
  <c r="S302" i="21"/>
  <c r="T302" i="21"/>
  <c r="V302" i="21" s="1"/>
  <c r="K317" i="19"/>
  <c r="L317" i="19" s="1"/>
  <c r="M317" i="19" s="1"/>
  <c r="O317" i="19" s="1"/>
  <c r="J318" i="19" s="1"/>
  <c r="N316" i="19"/>
  <c r="X314" i="19"/>
  <c r="S315" i="19" s="1"/>
  <c r="W314" i="19"/>
  <c r="P317" i="19" l="1"/>
  <c r="AE282" i="21"/>
  <c r="AF282" i="21" s="1"/>
  <c r="BL268" i="21"/>
  <c r="CA268" i="21" s="1"/>
  <c r="BS268" i="21"/>
  <c r="BT268" i="21" s="1"/>
  <c r="BP269" i="21" s="1"/>
  <c r="Y300" i="21"/>
  <c r="Z300" i="21"/>
  <c r="X300" i="21"/>
  <c r="BZ268" i="21"/>
  <c r="AU268" i="21"/>
  <c r="K318" i="19"/>
  <c r="L318" i="19"/>
  <c r="T315" i="19"/>
  <c r="U315" i="19"/>
  <c r="N317" i="19"/>
  <c r="AA300" i="21" l="1"/>
  <c r="W301" i="21"/>
  <c r="AB283" i="21"/>
  <c r="K283" i="21"/>
  <c r="BQ269" i="21"/>
  <c r="BR269" i="21" s="1"/>
  <c r="BM268" i="21"/>
  <c r="Y315" i="19"/>
  <c r="V315" i="19"/>
  <c r="X315" i="19" s="1"/>
  <c r="S316" i="19" s="1"/>
  <c r="M318" i="19"/>
  <c r="O318" i="19" s="1"/>
  <c r="J319" i="19" s="1"/>
  <c r="P318" i="19"/>
  <c r="AC283" i="21" l="1"/>
  <c r="AR283" i="21" s="1"/>
  <c r="AQ283" i="21"/>
  <c r="L283" i="21"/>
  <c r="BN268" i="21"/>
  <c r="BO268" i="21" s="1"/>
  <c r="Y301" i="21"/>
  <c r="X301" i="21"/>
  <c r="Z301" i="21"/>
  <c r="K319" i="19"/>
  <c r="P319" i="19" s="1"/>
  <c r="L319" i="19"/>
  <c r="M319" i="19" s="1"/>
  <c r="O319" i="19" s="1"/>
  <c r="J320" i="19" s="1"/>
  <c r="T316" i="19"/>
  <c r="U316" i="19"/>
  <c r="N318" i="19"/>
  <c r="W315" i="19"/>
  <c r="AD283" i="21" l="1"/>
  <c r="AA301" i="21"/>
  <c r="BK269" i="21"/>
  <c r="AT269" i="21"/>
  <c r="W302" i="21"/>
  <c r="AE283" i="21"/>
  <c r="AF283" i="21" s="1"/>
  <c r="K320" i="19"/>
  <c r="L320" i="19"/>
  <c r="V316" i="19"/>
  <c r="X316" i="19" s="1"/>
  <c r="S317" i="19" s="1"/>
  <c r="Y316" i="19"/>
  <c r="N319" i="19"/>
  <c r="AB284" i="21" l="1"/>
  <c r="K284" i="21"/>
  <c r="AU269" i="21"/>
  <c r="BZ269" i="21"/>
  <c r="X302" i="21"/>
  <c r="Y302" i="21"/>
  <c r="Z302" i="21"/>
  <c r="AA302" i="21" s="1"/>
  <c r="BL269" i="21"/>
  <c r="CA269" i="21" s="1"/>
  <c r="BS269" i="21"/>
  <c r="BT269" i="21" s="1"/>
  <c r="BP270" i="21" s="1"/>
  <c r="T317" i="19"/>
  <c r="U317" i="19"/>
  <c r="V317" i="19" s="1"/>
  <c r="M320" i="19"/>
  <c r="N320" i="19" s="1"/>
  <c r="Y317" i="19"/>
  <c r="W316" i="19"/>
  <c r="P320" i="19"/>
  <c r="L284" i="21" l="1"/>
  <c r="AQ284" i="21"/>
  <c r="BQ270" i="21"/>
  <c r="BR270" i="21" s="1"/>
  <c r="BM269" i="21"/>
  <c r="AC284" i="21"/>
  <c r="AR284" i="21" s="1"/>
  <c r="O320" i="19"/>
  <c r="J321" i="19" s="1"/>
  <c r="W317" i="19"/>
  <c r="X317" i="19"/>
  <c r="S318" i="19" s="1"/>
  <c r="BN269" i="21" l="1"/>
  <c r="BO269" i="21" s="1"/>
  <c r="AD284" i="21"/>
  <c r="T318" i="19"/>
  <c r="U318" i="19"/>
  <c r="V318" i="19" s="1"/>
  <c r="K321" i="19"/>
  <c r="L321" i="19"/>
  <c r="M321" i="19" s="1"/>
  <c r="AT270" i="21" l="1"/>
  <c r="BK270" i="21"/>
  <c r="AE284" i="21"/>
  <c r="AF284" i="21" s="1"/>
  <c r="O321" i="19"/>
  <c r="J322" i="19" s="1"/>
  <c r="N321" i="19"/>
  <c r="P321" i="19"/>
  <c r="X318" i="19"/>
  <c r="S319" i="19" s="1"/>
  <c r="W318" i="19"/>
  <c r="Y318" i="19"/>
  <c r="AB285" i="21" l="1"/>
  <c r="K285" i="21"/>
  <c r="BL270" i="21"/>
  <c r="CA270" i="21" s="1"/>
  <c r="BS270" i="21"/>
  <c r="BT270" i="21" s="1"/>
  <c r="BP271" i="21" s="1"/>
  <c r="BZ270" i="21"/>
  <c r="AU270" i="21"/>
  <c r="T319" i="19"/>
  <c r="U319" i="19"/>
  <c r="V319" i="19" s="1"/>
  <c r="K322" i="19"/>
  <c r="BM270" i="21" l="1"/>
  <c r="BN270" i="21" s="1"/>
  <c r="BO270" i="21" s="1"/>
  <c r="AT271" i="21" s="1"/>
  <c r="BQ271" i="21"/>
  <c r="BR271" i="21" s="1"/>
  <c r="AQ285" i="21"/>
  <c r="L285" i="21"/>
  <c r="AC285" i="21"/>
  <c r="W319" i="19"/>
  <c r="X319" i="19"/>
  <c r="S320" i="19" s="1"/>
  <c r="P322" i="19"/>
  <c r="L322" i="19"/>
  <c r="Y319" i="19"/>
  <c r="BK271" i="21" l="1"/>
  <c r="BS271" i="21" s="1"/>
  <c r="BT271" i="21" s="1"/>
  <c r="BP272" i="21" s="1"/>
  <c r="BQ272" i="21" s="1"/>
  <c r="BR272" i="21" s="1"/>
  <c r="AR285" i="21"/>
  <c r="AD285" i="21"/>
  <c r="BL271" i="21"/>
  <c r="CA271" i="21" s="1"/>
  <c r="AU271" i="21"/>
  <c r="BZ271" i="21"/>
  <c r="M322" i="19"/>
  <c r="N322" i="19" s="1"/>
  <c r="T320" i="19"/>
  <c r="U320" i="19"/>
  <c r="AE285" i="21" l="1"/>
  <c r="AF285" i="21" s="1"/>
  <c r="BM271" i="21"/>
  <c r="V320" i="19"/>
  <c r="X320" i="19" s="1"/>
  <c r="S321" i="19" s="1"/>
  <c r="O322" i="19"/>
  <c r="J323" i="19" s="1"/>
  <c r="Y320" i="19"/>
  <c r="AB286" i="21" l="1"/>
  <c r="K286" i="21"/>
  <c r="BN271" i="21"/>
  <c r="BO271" i="21" s="1"/>
  <c r="W320" i="19"/>
  <c r="T321" i="19"/>
  <c r="U321" i="19"/>
  <c r="V321" i="19" s="1"/>
  <c r="Y321" i="19"/>
  <c r="K323" i="19"/>
  <c r="L323" i="19" s="1"/>
  <c r="AT272" i="21" l="1"/>
  <c r="BK272" i="21"/>
  <c r="L286" i="21"/>
  <c r="AQ286" i="21"/>
  <c r="AC286" i="21"/>
  <c r="AR286" i="21" s="1"/>
  <c r="M323" i="19"/>
  <c r="O323" i="19" s="1"/>
  <c r="J324" i="19" s="1"/>
  <c r="P323" i="19"/>
  <c r="W321" i="19"/>
  <c r="X321" i="19"/>
  <c r="S322" i="19" s="1"/>
  <c r="BL272" i="21" l="1"/>
  <c r="CA272" i="21" s="1"/>
  <c r="BM272" i="21"/>
  <c r="BS272" i="21"/>
  <c r="BT272" i="21" s="1"/>
  <c r="BP273" i="21" s="1"/>
  <c r="AD286" i="21"/>
  <c r="BZ272" i="21"/>
  <c r="AU272" i="21"/>
  <c r="N323" i="19"/>
  <c r="K324" i="19"/>
  <c r="L324" i="19" s="1"/>
  <c r="T322" i="19"/>
  <c r="U322" i="19"/>
  <c r="V322" i="19" s="1"/>
  <c r="BN272" i="21" l="1"/>
  <c r="BQ273" i="21"/>
  <c r="BR273" i="21" s="1"/>
  <c r="AE286" i="21"/>
  <c r="AF286" i="21" s="1"/>
  <c r="BO272" i="21"/>
  <c r="X322" i="19"/>
  <c r="S323" i="19" s="1"/>
  <c r="W322" i="19"/>
  <c r="Y322" i="19"/>
  <c r="M324" i="19"/>
  <c r="O324" i="19" s="1"/>
  <c r="J325" i="19" s="1"/>
  <c r="P324" i="19"/>
  <c r="AB287" i="21" l="1"/>
  <c r="K287" i="21"/>
  <c r="AT273" i="21"/>
  <c r="BK273" i="21"/>
  <c r="K325" i="19"/>
  <c r="L325" i="19"/>
  <c r="M325" i="19" s="1"/>
  <c r="O325" i="19" s="1"/>
  <c r="J326" i="19" s="1"/>
  <c r="P325" i="19"/>
  <c r="N324" i="19"/>
  <c r="T323" i="19"/>
  <c r="Y323" i="19" s="1"/>
  <c r="U323" i="19"/>
  <c r="BL273" i="21" l="1"/>
  <c r="CA273" i="21" s="1"/>
  <c r="BS273" i="21"/>
  <c r="BT273" i="21" s="1"/>
  <c r="BP274" i="21" s="1"/>
  <c r="AQ287" i="21"/>
  <c r="L287" i="21"/>
  <c r="AU273" i="21"/>
  <c r="BZ273" i="21"/>
  <c r="AC287" i="21"/>
  <c r="AR287" i="21" s="1"/>
  <c r="K326" i="19"/>
  <c r="L326" i="19"/>
  <c r="P326" i="19"/>
  <c r="V323" i="19"/>
  <c r="X323" i="19" s="1"/>
  <c r="S324" i="19" s="1"/>
  <c r="N325" i="19"/>
  <c r="AD287" i="21" l="1"/>
  <c r="AE287" i="21" s="1"/>
  <c r="AF287" i="21" s="1"/>
  <c r="BQ274" i="21"/>
  <c r="BR274" i="21" s="1"/>
  <c r="BM273" i="21"/>
  <c r="T324" i="19"/>
  <c r="U324" i="19"/>
  <c r="V324" i="19" s="1"/>
  <c r="M326" i="19"/>
  <c r="O326" i="19" s="1"/>
  <c r="J327" i="19" s="1"/>
  <c r="W323" i="19"/>
  <c r="AB288" i="21" l="1"/>
  <c r="K288" i="21"/>
  <c r="BN273" i="21"/>
  <c r="BO273" i="21" s="1"/>
  <c r="K327" i="19"/>
  <c r="L327" i="19"/>
  <c r="M327" i="19" s="1"/>
  <c r="N326" i="19"/>
  <c r="X324" i="19"/>
  <c r="S325" i="19" s="1"/>
  <c r="W324" i="19"/>
  <c r="Y324" i="19"/>
  <c r="BK274" i="21" l="1"/>
  <c r="AT274" i="21"/>
  <c r="AQ288" i="21"/>
  <c r="L288" i="21"/>
  <c r="AC288" i="21"/>
  <c r="AR288" i="21" s="1"/>
  <c r="T325" i="19"/>
  <c r="U325" i="19"/>
  <c r="V325" i="19" s="1"/>
  <c r="O327" i="19"/>
  <c r="J328" i="19" s="1"/>
  <c r="N327" i="19"/>
  <c r="P327" i="19"/>
  <c r="AD288" i="21" l="1"/>
  <c r="AE288" i="21"/>
  <c r="AF288" i="21" s="1"/>
  <c r="BZ274" i="21"/>
  <c r="AU274" i="21"/>
  <c r="BL274" i="21"/>
  <c r="CA274" i="21" s="1"/>
  <c r="BS274" i="21"/>
  <c r="BT274" i="21" s="1"/>
  <c r="BP275" i="21" s="1"/>
  <c r="K328" i="19"/>
  <c r="L328" i="19"/>
  <c r="W325" i="19"/>
  <c r="X325" i="19"/>
  <c r="S326" i="19" s="1"/>
  <c r="Y325" i="19"/>
  <c r="AB289" i="21" l="1"/>
  <c r="K289" i="21"/>
  <c r="BQ275" i="21"/>
  <c r="BR275" i="21" s="1"/>
  <c r="BM274" i="21"/>
  <c r="T326" i="19"/>
  <c r="U326" i="19"/>
  <c r="V326" i="19" s="1"/>
  <c r="M328" i="19"/>
  <c r="O328" i="19" s="1"/>
  <c r="J329" i="19" s="1"/>
  <c r="P328" i="19"/>
  <c r="AQ289" i="21" l="1"/>
  <c r="L289" i="21"/>
  <c r="BN274" i="21"/>
  <c r="BO274" i="21" s="1"/>
  <c r="AC289" i="21"/>
  <c r="AR289" i="21" s="1"/>
  <c r="K329" i="19"/>
  <c r="L329" i="19"/>
  <c r="N328" i="19"/>
  <c r="X326" i="19"/>
  <c r="S327" i="19" s="1"/>
  <c r="W326" i="19"/>
  <c r="Y326" i="19"/>
  <c r="P329" i="19"/>
  <c r="BK275" i="21" l="1"/>
  <c r="AT275" i="21"/>
  <c r="AD289" i="21"/>
  <c r="AE289" i="21" s="1"/>
  <c r="AF289" i="21" s="1"/>
  <c r="M329" i="19"/>
  <c r="O329" i="19" s="1"/>
  <c r="J330" i="19" s="1"/>
  <c r="T327" i="19"/>
  <c r="U327" i="19"/>
  <c r="AB290" i="21" l="1"/>
  <c r="K290" i="21"/>
  <c r="BZ275" i="21"/>
  <c r="AU275" i="21"/>
  <c r="BL275" i="21"/>
  <c r="CA275" i="21" s="1"/>
  <c r="BS275" i="21"/>
  <c r="BT275" i="21" s="1"/>
  <c r="BP276" i="21" s="1"/>
  <c r="K330" i="19"/>
  <c r="L330" i="19"/>
  <c r="V327" i="19"/>
  <c r="X327" i="19" s="1"/>
  <c r="S328" i="19" s="1"/>
  <c r="Y327" i="19"/>
  <c r="N329" i="19"/>
  <c r="BM275" i="21" l="1"/>
  <c r="BQ276" i="21"/>
  <c r="BR276" i="21" s="1"/>
  <c r="L290" i="21"/>
  <c r="AQ290" i="21"/>
  <c r="AC290" i="21"/>
  <c r="AR290" i="21" s="1"/>
  <c r="T328" i="19"/>
  <c r="U328" i="19"/>
  <c r="V328" i="19" s="1"/>
  <c r="Y328" i="19"/>
  <c r="W327" i="19"/>
  <c r="M330" i="19"/>
  <c r="N330" i="19" s="1"/>
  <c r="P330" i="19"/>
  <c r="AD290" i="21" l="1"/>
  <c r="AE290" i="21" s="1"/>
  <c r="AF290" i="21" s="1"/>
  <c r="BN275" i="21"/>
  <c r="BO275" i="21" s="1"/>
  <c r="X328" i="19"/>
  <c r="S329" i="19" s="1"/>
  <c r="O330" i="19"/>
  <c r="J331" i="19" s="1"/>
  <c r="W328" i="19"/>
  <c r="AT276" i="21" l="1"/>
  <c r="BK276" i="21"/>
  <c r="AB291" i="21"/>
  <c r="K291" i="21"/>
  <c r="K331" i="19"/>
  <c r="L331" i="19"/>
  <c r="M331" i="19" s="1"/>
  <c r="T329" i="19"/>
  <c r="U329" i="19"/>
  <c r="V329" i="19" s="1"/>
  <c r="AC291" i="21" l="1"/>
  <c r="AR291" i="21" s="1"/>
  <c r="AQ291" i="21"/>
  <c r="L291" i="21"/>
  <c r="BL276" i="21"/>
  <c r="CA276" i="21" s="1"/>
  <c r="BS276" i="21"/>
  <c r="BT276" i="21" s="1"/>
  <c r="BP277" i="21" s="1"/>
  <c r="AU276" i="21"/>
  <c r="BZ276" i="21"/>
  <c r="X329" i="19"/>
  <c r="S330" i="19" s="1"/>
  <c r="W329" i="19"/>
  <c r="Y329" i="19"/>
  <c r="O331" i="19"/>
  <c r="J332" i="19" s="1"/>
  <c r="N331" i="19"/>
  <c r="P331" i="19"/>
  <c r="BQ277" i="21" l="1"/>
  <c r="BR277" i="21" s="1"/>
  <c r="AD291" i="21"/>
  <c r="BM276" i="21"/>
  <c r="K332" i="19"/>
  <c r="L332" i="19" s="1"/>
  <c r="T330" i="19"/>
  <c r="Y330" i="19" s="1"/>
  <c r="U330" i="19"/>
  <c r="V330" i="19" s="1"/>
  <c r="BN276" i="21" l="1"/>
  <c r="BO276" i="21" s="1"/>
  <c r="AE291" i="21"/>
  <c r="AF291" i="21" s="1"/>
  <c r="P332" i="19"/>
  <c r="W330" i="19"/>
  <c r="M332" i="19"/>
  <c r="O332" i="19" s="1"/>
  <c r="J333" i="19" s="1"/>
  <c r="X330" i="19"/>
  <c r="S331" i="19" s="1"/>
  <c r="AB292" i="21" l="1"/>
  <c r="K292" i="21"/>
  <c r="BK277" i="21"/>
  <c r="AT277" i="21"/>
  <c r="N332" i="19"/>
  <c r="K333" i="19"/>
  <c r="L333" i="19"/>
  <c r="M333" i="19" s="1"/>
  <c r="T331" i="19"/>
  <c r="U331" i="19"/>
  <c r="V331" i="19" s="1"/>
  <c r="AQ292" i="21" l="1"/>
  <c r="L292" i="21"/>
  <c r="AU277" i="21"/>
  <c r="BZ277" i="21"/>
  <c r="BL277" i="21"/>
  <c r="CA277" i="21" s="1"/>
  <c r="BS277" i="21"/>
  <c r="BT277" i="21" s="1"/>
  <c r="BP278" i="21" s="1"/>
  <c r="AC292" i="21"/>
  <c r="AR292" i="21" s="1"/>
  <c r="X331" i="19"/>
  <c r="S332" i="19" s="1"/>
  <c r="W331" i="19"/>
  <c r="Y331" i="19"/>
  <c r="O333" i="19"/>
  <c r="J334" i="19" s="1"/>
  <c r="N333" i="19"/>
  <c r="P333" i="19"/>
  <c r="AD292" i="21" l="1"/>
  <c r="AE292" i="21" s="1"/>
  <c r="AF292" i="21" s="1"/>
  <c r="BM277" i="21"/>
  <c r="BQ278" i="21"/>
  <c r="BR278" i="21" s="1"/>
  <c r="K334" i="19"/>
  <c r="P334" i="19" s="1"/>
  <c r="L334" i="19"/>
  <c r="T332" i="19"/>
  <c r="Y332" i="19" s="1"/>
  <c r="U332" i="19"/>
  <c r="V332" i="19" s="1"/>
  <c r="AB293" i="21" l="1"/>
  <c r="K293" i="21"/>
  <c r="AQ293" i="21" s="1"/>
  <c r="AC293" i="21"/>
  <c r="AR293" i="21" s="1"/>
  <c r="BN277" i="21"/>
  <c r="BO277" i="21" s="1"/>
  <c r="W332" i="19"/>
  <c r="M334" i="19"/>
  <c r="O334" i="19" s="1"/>
  <c r="J335" i="19" s="1"/>
  <c r="X332" i="19"/>
  <c r="S333" i="19" s="1"/>
  <c r="L293" i="21" l="1"/>
  <c r="AD293" i="21"/>
  <c r="AE293" i="21" s="1"/>
  <c r="AF293" i="21" s="1"/>
  <c r="K294" i="21" s="1"/>
  <c r="BK278" i="21"/>
  <c r="AT278" i="21"/>
  <c r="K335" i="19"/>
  <c r="L335" i="19"/>
  <c r="M335" i="19" s="1"/>
  <c r="T333" i="19"/>
  <c r="U333" i="19"/>
  <c r="N334" i="19"/>
  <c r="AB294" i="21" l="1"/>
  <c r="L294" i="21"/>
  <c r="AQ294" i="21"/>
  <c r="BZ278" i="21"/>
  <c r="AU278" i="21"/>
  <c r="AC294" i="21"/>
  <c r="AR294" i="21" s="1"/>
  <c r="BL278" i="21"/>
  <c r="CA278" i="21" s="1"/>
  <c r="BS278" i="21"/>
  <c r="BT278" i="21" s="1"/>
  <c r="BP279" i="21" s="1"/>
  <c r="V333" i="19"/>
  <c r="X333" i="19" s="1"/>
  <c r="S334" i="19" s="1"/>
  <c r="W333" i="19"/>
  <c r="Y333" i="19"/>
  <c r="O335" i="19"/>
  <c r="J336" i="19" s="1"/>
  <c r="N335" i="19"/>
  <c r="P335" i="19"/>
  <c r="BM278" i="21" l="1"/>
  <c r="AD294" i="21"/>
  <c r="AE294" i="21" s="1"/>
  <c r="AF294" i="21" s="1"/>
  <c r="BQ279" i="21"/>
  <c r="BR279" i="21" s="1"/>
  <c r="BN278" i="21"/>
  <c r="BO278" i="21" s="1"/>
  <c r="T334" i="19"/>
  <c r="U334" i="19"/>
  <c r="V334" i="19" s="1"/>
  <c r="Y334" i="19"/>
  <c r="K336" i="19"/>
  <c r="AT279" i="21" l="1"/>
  <c r="BK279" i="21"/>
  <c r="AB295" i="21"/>
  <c r="K295" i="21"/>
  <c r="P336" i="19"/>
  <c r="X334" i="19"/>
  <c r="S335" i="19" s="1"/>
  <c r="L336" i="19"/>
  <c r="W334" i="19"/>
  <c r="L295" i="21" l="1"/>
  <c r="AQ295" i="21"/>
  <c r="BL279" i="21"/>
  <c r="CA279" i="21" s="1"/>
  <c r="BS279" i="21"/>
  <c r="BT279" i="21" s="1"/>
  <c r="BP280" i="21" s="1"/>
  <c r="AC295" i="21"/>
  <c r="AR295" i="21" s="1"/>
  <c r="BZ279" i="21"/>
  <c r="AU279" i="21"/>
  <c r="M336" i="19"/>
  <c r="O336" i="19" s="1"/>
  <c r="J337" i="19" s="1"/>
  <c r="T335" i="19"/>
  <c r="U335" i="19"/>
  <c r="N336" i="19"/>
  <c r="BM279" i="21" l="1"/>
  <c r="BN279" i="21"/>
  <c r="BO279" i="21" s="1"/>
  <c r="BK280" i="21" s="1"/>
  <c r="BS280" i="21" s="1"/>
  <c r="AD295" i="21"/>
  <c r="BQ280" i="21"/>
  <c r="BR280" i="21" s="1"/>
  <c r="Y335" i="19"/>
  <c r="V335" i="19"/>
  <c r="X335" i="19" s="1"/>
  <c r="S336" i="19" s="1"/>
  <c r="K337" i="19"/>
  <c r="L337" i="19" s="1"/>
  <c r="M337" i="19" s="1"/>
  <c r="AT280" i="21" l="1"/>
  <c r="BT280" i="21"/>
  <c r="BP281" i="21" s="1"/>
  <c r="AE295" i="21"/>
  <c r="AF295" i="21" s="1"/>
  <c r="BQ281" i="21"/>
  <c r="BR281" i="21" s="1"/>
  <c r="BZ280" i="21"/>
  <c r="AU280" i="21"/>
  <c r="BL280" i="21"/>
  <c r="CA280" i="21" s="1"/>
  <c r="T336" i="19"/>
  <c r="U336" i="19"/>
  <c r="V336" i="19" s="1"/>
  <c r="O337" i="19"/>
  <c r="J338" i="19" s="1"/>
  <c r="N337" i="19"/>
  <c r="P337" i="19"/>
  <c r="Y336" i="19"/>
  <c r="W335" i="19"/>
  <c r="AB296" i="21" l="1"/>
  <c r="K296" i="21"/>
  <c r="BM280" i="21"/>
  <c r="K338" i="19"/>
  <c r="L338" i="19" s="1"/>
  <c r="X336" i="19"/>
  <c r="S337" i="19" s="1"/>
  <c r="W336" i="19"/>
  <c r="L296" i="21" l="1"/>
  <c r="AQ296" i="21"/>
  <c r="AC296" i="21"/>
  <c r="AR296" i="21" s="1"/>
  <c r="BN280" i="21"/>
  <c r="BO280" i="21" s="1"/>
  <c r="M338" i="19"/>
  <c r="O338" i="19" s="1"/>
  <c r="J339" i="19" s="1"/>
  <c r="T337" i="19"/>
  <c r="U337" i="19"/>
  <c r="V337" i="19" s="1"/>
  <c r="P338" i="19"/>
  <c r="AD296" i="21" l="1"/>
  <c r="AE296" i="21"/>
  <c r="AF296" i="21" s="1"/>
  <c r="BK281" i="21"/>
  <c r="AT281" i="21"/>
  <c r="N338" i="19"/>
  <c r="K339" i="19"/>
  <c r="L339" i="19"/>
  <c r="M339" i="19" s="1"/>
  <c r="P339" i="19"/>
  <c r="W337" i="19"/>
  <c r="Y337" i="19"/>
  <c r="X337" i="19"/>
  <c r="S338" i="19" s="1"/>
  <c r="K297" i="21" l="1"/>
  <c r="AB297" i="21"/>
  <c r="BZ281" i="21"/>
  <c r="AU281" i="21"/>
  <c r="BL281" i="21"/>
  <c r="CA281" i="21" s="1"/>
  <c r="BS281" i="21"/>
  <c r="BT281" i="21" s="1"/>
  <c r="BP282" i="21" s="1"/>
  <c r="T338" i="19"/>
  <c r="U338" i="19"/>
  <c r="V338" i="19" s="1"/>
  <c r="Y338" i="19"/>
  <c r="O339" i="19"/>
  <c r="J340" i="19" s="1"/>
  <c r="N339" i="19"/>
  <c r="AC297" i="21" l="1"/>
  <c r="AR297" i="21" s="1"/>
  <c r="AQ297" i="21"/>
  <c r="L297" i="21"/>
  <c r="BQ282" i="21"/>
  <c r="BR282" i="21" s="1"/>
  <c r="BM281" i="21"/>
  <c r="K340" i="19"/>
  <c r="L340" i="19"/>
  <c r="X338" i="19"/>
  <c r="S339" i="19" s="1"/>
  <c r="W338" i="19"/>
  <c r="AD297" i="21" l="1"/>
  <c r="AE297" i="21"/>
  <c r="AF297" i="21" s="1"/>
  <c r="K298" i="21" s="1"/>
  <c r="BN281" i="21"/>
  <c r="BO281" i="21" s="1"/>
  <c r="T339" i="19"/>
  <c r="U339" i="19"/>
  <c r="V339" i="19" s="1"/>
  <c r="M340" i="19"/>
  <c r="O340" i="19" s="1"/>
  <c r="J341" i="19" s="1"/>
  <c r="P340" i="19"/>
  <c r="AB298" i="21" l="1"/>
  <c r="AC298" i="21" s="1"/>
  <c r="AR298" i="21" s="1"/>
  <c r="L298" i="21"/>
  <c r="AQ298" i="21"/>
  <c r="AT282" i="21"/>
  <c r="BK282" i="21"/>
  <c r="N340" i="19"/>
  <c r="K341" i="19"/>
  <c r="P341" i="19" s="1"/>
  <c r="W339" i="19"/>
  <c r="Y339" i="19"/>
  <c r="X339" i="19"/>
  <c r="S340" i="19" s="1"/>
  <c r="L341" i="19" l="1"/>
  <c r="AD298" i="21"/>
  <c r="BL282" i="21"/>
  <c r="CA282" i="21" s="1"/>
  <c r="BS282" i="21"/>
  <c r="BT282" i="21" s="1"/>
  <c r="BP283" i="21" s="1"/>
  <c r="BZ282" i="21"/>
  <c r="AU282" i="21"/>
  <c r="T340" i="19"/>
  <c r="U340" i="19"/>
  <c r="V340" i="19" s="1"/>
  <c r="M341" i="19"/>
  <c r="O341" i="19" s="1"/>
  <c r="J342" i="19" s="1"/>
  <c r="Y340" i="19"/>
  <c r="BM282" i="21" l="1"/>
  <c r="BN282" i="21"/>
  <c r="BO282" i="21" s="1"/>
  <c r="AE298" i="21"/>
  <c r="AF298" i="21" s="1"/>
  <c r="BQ283" i="21"/>
  <c r="BR283" i="21" s="1"/>
  <c r="K342" i="19"/>
  <c r="L342" i="19" s="1"/>
  <c r="X340" i="19"/>
  <c r="S341" i="19" s="1"/>
  <c r="W340" i="19"/>
  <c r="N341" i="19"/>
  <c r="K299" i="21" l="1"/>
  <c r="AB299" i="21"/>
  <c r="BK283" i="21"/>
  <c r="AT283" i="21"/>
  <c r="M342" i="19"/>
  <c r="O342" i="19" s="1"/>
  <c r="J343" i="19" s="1"/>
  <c r="T341" i="19"/>
  <c r="U341" i="19"/>
  <c r="V341" i="19" s="1"/>
  <c r="P342" i="19"/>
  <c r="AC299" i="21" l="1"/>
  <c r="AR299" i="21" s="1"/>
  <c r="L299" i="21"/>
  <c r="AQ299" i="21"/>
  <c r="AU283" i="21"/>
  <c r="BZ283" i="21"/>
  <c r="BL283" i="21"/>
  <c r="CA283" i="21" s="1"/>
  <c r="BS283" i="21"/>
  <c r="BT283" i="21" s="1"/>
  <c r="BP284" i="21" s="1"/>
  <c r="N342" i="19"/>
  <c r="K343" i="19"/>
  <c r="L343" i="19"/>
  <c r="P343" i="19"/>
  <c r="W341" i="19"/>
  <c r="Y341" i="19"/>
  <c r="X341" i="19"/>
  <c r="S342" i="19" s="1"/>
  <c r="AD299" i="21" l="1"/>
  <c r="BM283" i="21"/>
  <c r="BN283" i="21" s="1"/>
  <c r="BO283" i="21" s="1"/>
  <c r="BQ284" i="21"/>
  <c r="BR284" i="21" s="1"/>
  <c r="M343" i="19"/>
  <c r="O343" i="19" s="1"/>
  <c r="J344" i="19" s="1"/>
  <c r="T342" i="19"/>
  <c r="Y342" i="19" s="1"/>
  <c r="U342" i="19"/>
  <c r="AE299" i="21" l="1"/>
  <c r="AF299" i="21" s="1"/>
  <c r="BK284" i="21"/>
  <c r="AT284" i="21"/>
  <c r="K344" i="19"/>
  <c r="L344" i="19"/>
  <c r="V342" i="19"/>
  <c r="X342" i="19" s="1"/>
  <c r="S343" i="19" s="1"/>
  <c r="N343" i="19"/>
  <c r="AB300" i="21" l="1"/>
  <c r="K300" i="21"/>
  <c r="BL284" i="21"/>
  <c r="CA284" i="21" s="1"/>
  <c r="BS284" i="21"/>
  <c r="BT284" i="21" s="1"/>
  <c r="BP285" i="21" s="1"/>
  <c r="AU284" i="21"/>
  <c r="BZ284" i="21"/>
  <c r="T343" i="19"/>
  <c r="U343" i="19"/>
  <c r="V343" i="19" s="1"/>
  <c r="M344" i="19"/>
  <c r="O344" i="19" s="1"/>
  <c r="J345" i="19" s="1"/>
  <c r="W342" i="19"/>
  <c r="N344" i="19"/>
  <c r="P344" i="19"/>
  <c r="AQ300" i="21" l="1"/>
  <c r="L300" i="21"/>
  <c r="AC300" i="21"/>
  <c r="AR300" i="21" s="1"/>
  <c r="BM284" i="21"/>
  <c r="BN284" i="21" s="1"/>
  <c r="BQ285" i="21"/>
  <c r="BR285" i="21" s="1"/>
  <c r="K345" i="19"/>
  <c r="P345" i="19" s="1"/>
  <c r="L345" i="19"/>
  <c r="W343" i="19"/>
  <c r="Y343" i="19"/>
  <c r="X343" i="19"/>
  <c r="S344" i="19" s="1"/>
  <c r="BO284" i="21" l="1"/>
  <c r="AD300" i="21"/>
  <c r="AT285" i="21"/>
  <c r="BK285" i="21"/>
  <c r="T344" i="19"/>
  <c r="U344" i="19"/>
  <c r="V344" i="19" s="1"/>
  <c r="M345" i="19"/>
  <c r="O345" i="19" s="1"/>
  <c r="J346" i="19" s="1"/>
  <c r="Y344" i="19"/>
  <c r="AE300" i="21" l="1"/>
  <c r="AF300" i="21" s="1"/>
  <c r="AU285" i="21"/>
  <c r="BZ285" i="21"/>
  <c r="BL285" i="21"/>
  <c r="CA285" i="21" s="1"/>
  <c r="BS285" i="21"/>
  <c r="BT285" i="21" s="1"/>
  <c r="BP286" i="21" s="1"/>
  <c r="K346" i="19"/>
  <c r="L346" i="19"/>
  <c r="X344" i="19"/>
  <c r="S345" i="19" s="1"/>
  <c r="W344" i="19"/>
  <c r="N345" i="19"/>
  <c r="K301" i="21" l="1"/>
  <c r="AB301" i="21"/>
  <c r="BM285" i="21"/>
  <c r="BN285" i="21" s="1"/>
  <c r="BO285" i="21" s="1"/>
  <c r="BQ286" i="21"/>
  <c r="BR286" i="21" s="1"/>
  <c r="T345" i="19"/>
  <c r="U345" i="19"/>
  <c r="V345" i="19" s="1"/>
  <c r="M346" i="19"/>
  <c r="O346" i="19" s="1"/>
  <c r="J347" i="19" s="1"/>
  <c r="P346" i="19"/>
  <c r="AC301" i="21" l="1"/>
  <c r="AD301" i="21"/>
  <c r="L301" i="21"/>
  <c r="AQ301" i="21"/>
  <c r="AT286" i="21"/>
  <c r="BK286" i="21"/>
  <c r="K347" i="19"/>
  <c r="P347" i="19" s="1"/>
  <c r="L347" i="19"/>
  <c r="M347" i="19" s="1"/>
  <c r="N346" i="19"/>
  <c r="W345" i="19"/>
  <c r="Y345" i="19"/>
  <c r="X345" i="19"/>
  <c r="S346" i="19" s="1"/>
  <c r="AE301" i="21" l="1"/>
  <c r="AF301" i="21" s="1"/>
  <c r="AR301" i="21"/>
  <c r="BL286" i="21"/>
  <c r="CA286" i="21" s="1"/>
  <c r="BS286" i="21"/>
  <c r="BT286" i="21" s="1"/>
  <c r="BP287" i="21" s="1"/>
  <c r="AU286" i="21"/>
  <c r="BZ286" i="21"/>
  <c r="O347" i="19"/>
  <c r="J348" i="19" s="1"/>
  <c r="T346" i="19"/>
  <c r="Y346" i="19" s="1"/>
  <c r="U346" i="19"/>
  <c r="N347" i="19"/>
  <c r="AB302" i="21" l="1"/>
  <c r="K302" i="21"/>
  <c r="BQ287" i="21"/>
  <c r="BR287" i="21" s="1"/>
  <c r="BM286" i="21"/>
  <c r="V346" i="19"/>
  <c r="X346" i="19" s="1"/>
  <c r="S347" i="19" s="1"/>
  <c r="K348" i="19"/>
  <c r="L348" i="19"/>
  <c r="L302" i="21" l="1"/>
  <c r="AQ302" i="21"/>
  <c r="E32" i="21"/>
  <c r="AC302" i="21"/>
  <c r="BN286" i="21"/>
  <c r="BO286" i="21" s="1"/>
  <c r="W346" i="19"/>
  <c r="T347" i="19"/>
  <c r="U347" i="19"/>
  <c r="V347" i="19" s="1"/>
  <c r="M348" i="19"/>
  <c r="O348" i="19" s="1"/>
  <c r="J349" i="19" s="1"/>
  <c r="P348" i="19"/>
  <c r="E33" i="21" l="1"/>
  <c r="E39" i="21"/>
  <c r="E30" i="21"/>
  <c r="AR302" i="21"/>
  <c r="AD302" i="21"/>
  <c r="BK287" i="21"/>
  <c r="AT287" i="21"/>
  <c r="K349" i="19"/>
  <c r="L349" i="19"/>
  <c r="P349" i="19"/>
  <c r="N348" i="19"/>
  <c r="W347" i="19"/>
  <c r="Y347" i="19"/>
  <c r="X347" i="19"/>
  <c r="S348" i="19" s="1"/>
  <c r="AE302" i="21" l="1"/>
  <c r="AF302" i="21" s="1"/>
  <c r="E38" i="21"/>
  <c r="E31" i="21"/>
  <c r="AU287" i="21"/>
  <c r="BZ287" i="21"/>
  <c r="BL287" i="21"/>
  <c r="CA287" i="21" s="1"/>
  <c r="BS287" i="21"/>
  <c r="BT287" i="21" s="1"/>
  <c r="BP288" i="21" s="1"/>
  <c r="M349" i="19"/>
  <c r="O349" i="19" s="1"/>
  <c r="J350" i="19" s="1"/>
  <c r="T348" i="19"/>
  <c r="U348" i="19"/>
  <c r="BM287" i="21" l="1"/>
  <c r="BN287" i="21"/>
  <c r="BO287" i="21" s="1"/>
  <c r="BQ288" i="21"/>
  <c r="BR288" i="21"/>
  <c r="K350" i="19"/>
  <c r="V348" i="19"/>
  <c r="X348" i="19" s="1"/>
  <c r="S349" i="19" s="1"/>
  <c r="Y348" i="19"/>
  <c r="N349" i="19"/>
  <c r="BK288" i="21" l="1"/>
  <c r="AT288" i="21"/>
  <c r="T349" i="19"/>
  <c r="U349" i="19"/>
  <c r="V349" i="19" s="1"/>
  <c r="P350" i="19"/>
  <c r="Y349" i="19"/>
  <c r="W348" i="19"/>
  <c r="L350" i="19"/>
  <c r="AU288" i="21" l="1"/>
  <c r="BZ288" i="21"/>
  <c r="BL288" i="21"/>
  <c r="CA288" i="21" s="1"/>
  <c r="BS288" i="21"/>
  <c r="BT288" i="21" s="1"/>
  <c r="BP289" i="21" s="1"/>
  <c r="W349" i="19"/>
  <c r="X349" i="19"/>
  <c r="S350" i="19" s="1"/>
  <c r="M350" i="19"/>
  <c r="N350" i="19" s="1"/>
  <c r="BQ289" i="21" l="1"/>
  <c r="BR289" i="21" s="1"/>
  <c r="BM288" i="21"/>
  <c r="O350" i="19"/>
  <c r="J351" i="19" s="1"/>
  <c r="T350" i="19"/>
  <c r="U350" i="19"/>
  <c r="BN288" i="21" l="1"/>
  <c r="BO288" i="21" s="1"/>
  <c r="V350" i="19"/>
  <c r="X350" i="19" s="1"/>
  <c r="S351" i="19" s="1"/>
  <c r="Y350" i="19"/>
  <c r="L351" i="19"/>
  <c r="M351" i="19"/>
  <c r="O351" i="19" s="1"/>
  <c r="J352" i="19" s="1"/>
  <c r="K351" i="19"/>
  <c r="BK289" i="21" l="1"/>
  <c r="AT289" i="21"/>
  <c r="W350" i="19"/>
  <c r="T351" i="19"/>
  <c r="Y351" i="19" s="1"/>
  <c r="U351" i="19"/>
  <c r="V351" i="19" s="1"/>
  <c r="N351" i="19"/>
  <c r="P351" i="19"/>
  <c r="K352" i="19"/>
  <c r="L352" i="19"/>
  <c r="M352" i="19"/>
  <c r="BZ289" i="21" l="1"/>
  <c r="AU289" i="21"/>
  <c r="BL289" i="21"/>
  <c r="CA289" i="21" s="1"/>
  <c r="BS289" i="21"/>
  <c r="BT289" i="21" s="1"/>
  <c r="BP290" i="21" s="1"/>
  <c r="O352" i="19"/>
  <c r="J353" i="19" s="1"/>
  <c r="L353" i="19" s="1"/>
  <c r="N352" i="19"/>
  <c r="P352" i="19"/>
  <c r="W351" i="19"/>
  <c r="X351" i="19"/>
  <c r="S352" i="19" s="1"/>
  <c r="K353" i="19" l="1"/>
  <c r="M353" i="19"/>
  <c r="O353" i="19" s="1"/>
  <c r="J354" i="19" s="1"/>
  <c r="BQ290" i="21"/>
  <c r="BR290" i="21" s="1"/>
  <c r="BM289" i="21"/>
  <c r="L354" i="19"/>
  <c r="K354" i="19"/>
  <c r="M354" i="19"/>
  <c r="O354" i="19" s="1"/>
  <c r="J355" i="19" s="1"/>
  <c r="T352" i="19"/>
  <c r="V352" i="19"/>
  <c r="U352" i="19"/>
  <c r="P353" i="19"/>
  <c r="N353" i="19" l="1"/>
  <c r="BN289" i="21"/>
  <c r="BO289" i="21" s="1"/>
  <c r="X352" i="19"/>
  <c r="S353" i="19" s="1"/>
  <c r="N354" i="19"/>
  <c r="V353" i="19"/>
  <c r="T353" i="19"/>
  <c r="U353" i="19"/>
  <c r="X353" i="19" s="1"/>
  <c r="S354" i="19" s="1"/>
  <c r="W352" i="19"/>
  <c r="Y352" i="19"/>
  <c r="Y353" i="19" s="1"/>
  <c r="K355" i="19"/>
  <c r="L355" i="19"/>
  <c r="M355" i="19"/>
  <c r="P354" i="19"/>
  <c r="BK290" i="21" l="1"/>
  <c r="AT290" i="21"/>
  <c r="O355" i="19"/>
  <c r="J356" i="19" s="1"/>
  <c r="N355" i="19"/>
  <c r="K356" i="19"/>
  <c r="L356" i="19"/>
  <c r="M356" i="19"/>
  <c r="T354" i="19"/>
  <c r="V354" i="19"/>
  <c r="U354" i="19"/>
  <c r="X354" i="19" s="1"/>
  <c r="S355" i="19" s="1"/>
  <c r="W353" i="19"/>
  <c r="P355" i="19"/>
  <c r="BZ290" i="21" l="1"/>
  <c r="AU290" i="21"/>
  <c r="BL290" i="21"/>
  <c r="CA290" i="21" s="1"/>
  <c r="BS290" i="21"/>
  <c r="BT290" i="21" s="1"/>
  <c r="BP291" i="21" s="1"/>
  <c r="O356" i="19"/>
  <c r="J357" i="19" s="1"/>
  <c r="K357" i="19" s="1"/>
  <c r="W354" i="19"/>
  <c r="P356" i="19"/>
  <c r="T355" i="19"/>
  <c r="U355" i="19"/>
  <c r="V355" i="19"/>
  <c r="Y354" i="19"/>
  <c r="Y355" i="19" s="1"/>
  <c r="L357" i="19"/>
  <c r="M357" i="19"/>
  <c r="N356" i="19"/>
  <c r="BM290" i="21" l="1"/>
  <c r="BN290" i="21" s="1"/>
  <c r="BO290" i="21" s="1"/>
  <c r="BQ291" i="21"/>
  <c r="BR291" i="21"/>
  <c r="X355" i="19"/>
  <c r="S356" i="19" s="1"/>
  <c r="N357" i="19"/>
  <c r="O357" i="19"/>
  <c r="J358" i="19" s="1"/>
  <c r="L358" i="19" s="1"/>
  <c r="T356" i="19"/>
  <c r="V356" i="19"/>
  <c r="U356" i="19"/>
  <c r="X356" i="19" s="1"/>
  <c r="S357" i="19" s="1"/>
  <c r="P357" i="19"/>
  <c r="W355" i="19"/>
  <c r="AT291" i="21" l="1"/>
  <c r="BK291" i="21"/>
  <c r="K358" i="19"/>
  <c r="P358" i="19" s="1"/>
  <c r="M358" i="19"/>
  <c r="N358" i="19" s="1"/>
  <c r="O358" i="19"/>
  <c r="J359" i="19" s="1"/>
  <c r="K359" i="19" s="1"/>
  <c r="V357" i="19"/>
  <c r="T357" i="19"/>
  <c r="U357" i="19"/>
  <c r="X357" i="19" s="1"/>
  <c r="S358" i="19" s="1"/>
  <c r="W356" i="19"/>
  <c r="Y356" i="19"/>
  <c r="BL291" i="21" l="1"/>
  <c r="CA291" i="21" s="1"/>
  <c r="AU291" i="21"/>
  <c r="BZ291" i="21"/>
  <c r="BS291" i="21" s="1"/>
  <c r="BT291" i="21" s="1"/>
  <c r="BP292" i="21" s="1"/>
  <c r="Y357" i="19"/>
  <c r="L359" i="19"/>
  <c r="M359" i="19"/>
  <c r="O359" i="19" s="1"/>
  <c r="J360" i="19" s="1"/>
  <c r="U358" i="19"/>
  <c r="T358" i="19"/>
  <c r="V358" i="19"/>
  <c r="P359" i="19"/>
  <c r="W357" i="19"/>
  <c r="BM291" i="21" l="1"/>
  <c r="BQ292" i="21"/>
  <c r="BR292" i="21" s="1"/>
  <c r="X358" i="19"/>
  <c r="S359" i="19" s="1"/>
  <c r="N359" i="19"/>
  <c r="K360" i="19"/>
  <c r="P360" i="19" s="1"/>
  <c r="L360" i="19"/>
  <c r="M360" i="19"/>
  <c r="W358" i="19"/>
  <c r="U359" i="19"/>
  <c r="T359" i="19"/>
  <c r="V359" i="19"/>
  <c r="Y358" i="19"/>
  <c r="BN291" i="21" l="1"/>
  <c r="BO291" i="21" s="1"/>
  <c r="O360" i="19"/>
  <c r="J361" i="19" s="1"/>
  <c r="L361" i="19" s="1"/>
  <c r="X359" i="19"/>
  <c r="S360" i="19" s="1"/>
  <c r="T360" i="19" s="1"/>
  <c r="Y360" i="19" s="1"/>
  <c r="N360" i="19"/>
  <c r="Y359" i="19"/>
  <c r="U360" i="19"/>
  <c r="V360" i="19"/>
  <c r="W359" i="19"/>
  <c r="BK292" i="21" l="1"/>
  <c r="AT292" i="21"/>
  <c r="K361" i="19"/>
  <c r="P361" i="19" s="1"/>
  <c r="M361" i="19"/>
  <c r="X360" i="19"/>
  <c r="S361" i="19" s="1"/>
  <c r="V361" i="19" s="1"/>
  <c r="W360" i="19"/>
  <c r="AU292" i="21" l="1"/>
  <c r="BZ292" i="21"/>
  <c r="BS292" i="21" s="1"/>
  <c r="BT292" i="21" s="1"/>
  <c r="BP293" i="21" s="1"/>
  <c r="BQ293" i="21" s="1"/>
  <c r="BR293" i="21" s="1"/>
  <c r="BL292" i="21"/>
  <c r="CA292" i="21" s="1"/>
  <c r="O361" i="19"/>
  <c r="J362" i="19" s="1"/>
  <c r="N361" i="19"/>
  <c r="U361" i="19"/>
  <c r="X361" i="19" s="1"/>
  <c r="S362" i="19" s="1"/>
  <c r="T361" i="19"/>
  <c r="W361" i="19" s="1"/>
  <c r="Y361" i="19"/>
  <c r="BM292" i="21" l="1"/>
  <c r="L362" i="19"/>
  <c r="K362" i="19"/>
  <c r="M362" i="19"/>
  <c r="O362" i="19"/>
  <c r="J363" i="19" s="1"/>
  <c r="V362" i="19"/>
  <c r="T362" i="19"/>
  <c r="U362" i="19"/>
  <c r="W362" i="19" s="1"/>
  <c r="Y362" i="19"/>
  <c r="BN292" i="21" l="1"/>
  <c r="BO292" i="21" s="1"/>
  <c r="L363" i="19"/>
  <c r="M363" i="19"/>
  <c r="O363" i="19"/>
  <c r="J364" i="19" s="1"/>
  <c r="K363" i="19"/>
  <c r="N363" i="19" s="1"/>
  <c r="P362" i="19"/>
  <c r="P363" i="19" s="1"/>
  <c r="N362" i="19"/>
  <c r="X362" i="19"/>
  <c r="S363" i="19" s="1"/>
  <c r="AT293" i="21" l="1"/>
  <c r="BK293" i="21"/>
  <c r="K364" i="19"/>
  <c r="L364" i="19"/>
  <c r="M364" i="19"/>
  <c r="U363" i="19"/>
  <c r="V363" i="19"/>
  <c r="T363" i="19"/>
  <c r="BL293" i="21" l="1"/>
  <c r="CA293" i="21" s="1"/>
  <c r="BM293" i="21"/>
  <c r="BZ293" i="21"/>
  <c r="BS293" i="21" s="1"/>
  <c r="BT293" i="21" s="1"/>
  <c r="BP294" i="21" s="1"/>
  <c r="BQ294" i="21" s="1"/>
  <c r="BR294" i="21" s="1"/>
  <c r="AU293" i="21"/>
  <c r="O364" i="19"/>
  <c r="J365" i="19" s="1"/>
  <c r="L365" i="19" s="1"/>
  <c r="P364" i="19"/>
  <c r="N364" i="19"/>
  <c r="Y363" i="19"/>
  <c r="W363" i="19"/>
  <c r="X363" i="19"/>
  <c r="S364" i="19" s="1"/>
  <c r="M365" i="19" l="1"/>
  <c r="K365" i="19"/>
  <c r="P365" i="19" s="1"/>
  <c r="BN293" i="21"/>
  <c r="BO293" i="21" s="1"/>
  <c r="O365" i="19"/>
  <c r="J366" i="19" s="1"/>
  <c r="L366" i="19" s="1"/>
  <c r="N365" i="19"/>
  <c r="U364" i="19"/>
  <c r="V364" i="19"/>
  <c r="X364" i="19" s="1"/>
  <c r="S365" i="19" s="1"/>
  <c r="T364" i="19"/>
  <c r="M366" i="19" l="1"/>
  <c r="O366" i="19" s="1"/>
  <c r="J367" i="19" s="1"/>
  <c r="K366" i="19"/>
  <c r="P366" i="19" s="1"/>
  <c r="AT294" i="21"/>
  <c r="BK294" i="21"/>
  <c r="V365" i="19"/>
  <c r="T365" i="19"/>
  <c r="U365" i="19"/>
  <c r="Y364" i="19"/>
  <c r="Y365" i="19" s="1"/>
  <c r="W364" i="19"/>
  <c r="L367" i="19" l="1"/>
  <c r="K367" i="19"/>
  <c r="N367" i="19" s="1"/>
  <c r="M367" i="19"/>
  <c r="N366" i="19"/>
  <c r="BL294" i="21"/>
  <c r="CA294" i="21" s="1"/>
  <c r="BZ294" i="21"/>
  <c r="BS294" i="21" s="1"/>
  <c r="BT294" i="21" s="1"/>
  <c r="BP295" i="21" s="1"/>
  <c r="AU294" i="21"/>
  <c r="W365" i="19"/>
  <c r="X365" i="19"/>
  <c r="S366" i="19" s="1"/>
  <c r="BM294" i="21" l="1"/>
  <c r="O367" i="19"/>
  <c r="J368" i="19" s="1"/>
  <c r="P367" i="19"/>
  <c r="BQ295" i="21"/>
  <c r="BR295" i="21"/>
  <c r="BN294" i="21"/>
  <c r="BO294" i="21" s="1"/>
  <c r="U366" i="19"/>
  <c r="V366" i="19"/>
  <c r="T366" i="19"/>
  <c r="L368" i="19" l="1"/>
  <c r="M368" i="19"/>
  <c r="O368" i="19" s="1"/>
  <c r="J369" i="19" s="1"/>
  <c r="K368" i="19"/>
  <c r="N368" i="19" s="1"/>
  <c r="BK295" i="21"/>
  <c r="AT295" i="21"/>
  <c r="X366" i="19"/>
  <c r="S367" i="19" s="1"/>
  <c r="W366" i="19"/>
  <c r="Y366" i="19"/>
  <c r="U367" i="19"/>
  <c r="T367" i="19"/>
  <c r="V367" i="19"/>
  <c r="X367" i="19" s="1"/>
  <c r="S368" i="19" s="1"/>
  <c r="K369" i="19" l="1"/>
  <c r="M369" i="19"/>
  <c r="O369" i="19" s="1"/>
  <c r="J370" i="19" s="1"/>
  <c r="L369" i="19"/>
  <c r="P368" i="19"/>
  <c r="BZ295" i="21"/>
  <c r="BS295" i="21" s="1"/>
  <c r="BT295" i="21" s="1"/>
  <c r="BP296" i="21" s="1"/>
  <c r="AU295" i="21"/>
  <c r="BL295" i="21"/>
  <c r="CA295" i="21" s="1"/>
  <c r="U368" i="19"/>
  <c r="V368" i="19"/>
  <c r="T368" i="19"/>
  <c r="W368" i="19" s="1"/>
  <c r="X368" i="19"/>
  <c r="S369" i="19" s="1"/>
  <c r="W367" i="19"/>
  <c r="Y367" i="19"/>
  <c r="Y368" i="19" s="1"/>
  <c r="BM295" i="21" l="1"/>
  <c r="BN295" i="21" s="1"/>
  <c r="BO295" i="21" s="1"/>
  <c r="AT296" i="21" s="1"/>
  <c r="P369" i="19"/>
  <c r="L370" i="19"/>
  <c r="K370" i="19"/>
  <c r="M370" i="19"/>
  <c r="N369" i="19"/>
  <c r="BQ296" i="21"/>
  <c r="BR296" i="21" s="1"/>
  <c r="T369" i="19"/>
  <c r="U369" i="19"/>
  <c r="V369" i="19"/>
  <c r="X369" i="19"/>
  <c r="S370" i="19" s="1"/>
  <c r="BK296" i="21" l="1"/>
  <c r="N370" i="19"/>
  <c r="O370" i="19"/>
  <c r="J371" i="19" s="1"/>
  <c r="P370" i="19"/>
  <c r="BL296" i="21"/>
  <c r="CA296" i="21" s="1"/>
  <c r="AU296" i="21"/>
  <c r="BZ296" i="21"/>
  <c r="BS296" i="21" s="1"/>
  <c r="BT296" i="21" s="1"/>
  <c r="BP297" i="21" s="1"/>
  <c r="V370" i="19"/>
  <c r="U370" i="19"/>
  <c r="X370" i="19" s="1"/>
  <c r="S371" i="19" s="1"/>
  <c r="T370" i="19"/>
  <c r="Y369" i="19"/>
  <c r="W369" i="19"/>
  <c r="P371" i="19" l="1"/>
  <c r="L371" i="19"/>
  <c r="K371" i="19"/>
  <c r="M371" i="19"/>
  <c r="O371" i="19" s="1"/>
  <c r="J372" i="19" s="1"/>
  <c r="BQ297" i="21"/>
  <c r="BR297" i="21" s="1"/>
  <c r="BM296" i="21"/>
  <c r="Y370" i="19"/>
  <c r="W370" i="19"/>
  <c r="T371" i="19"/>
  <c r="V371" i="19"/>
  <c r="U371" i="19"/>
  <c r="X371" i="19" s="1"/>
  <c r="S372" i="19" s="1"/>
  <c r="L372" i="19" l="1"/>
  <c r="M372" i="19"/>
  <c r="K372" i="19"/>
  <c r="N372" i="19" s="1"/>
  <c r="O372" i="19"/>
  <c r="J373" i="19" s="1"/>
  <c r="N371" i="19"/>
  <c r="P372" i="19"/>
  <c r="BN296" i="21"/>
  <c r="BO296" i="21" s="1"/>
  <c r="Y371" i="19"/>
  <c r="U372" i="19"/>
  <c r="V372" i="19"/>
  <c r="X372" i="19" s="1"/>
  <c r="S373" i="19" s="1"/>
  <c r="T372" i="19"/>
  <c r="W372" i="19" s="1"/>
  <c r="W371" i="19"/>
  <c r="Y372" i="19"/>
  <c r="M373" i="19" l="1"/>
  <c r="K373" i="19"/>
  <c r="O373" i="19"/>
  <c r="J374" i="19" s="1"/>
  <c r="L373" i="19"/>
  <c r="AT297" i="21"/>
  <c r="BK297" i="21"/>
  <c r="V373" i="19"/>
  <c r="T373" i="19"/>
  <c r="U373" i="19"/>
  <c r="X373" i="19"/>
  <c r="S374" i="19" s="1"/>
  <c r="Y373" i="19"/>
  <c r="L374" i="19" l="1"/>
  <c r="M374" i="19"/>
  <c r="O374" i="19" s="1"/>
  <c r="J375" i="19" s="1"/>
  <c r="K374" i="19"/>
  <c r="N374" i="19" s="1"/>
  <c r="N373" i="19"/>
  <c r="P373" i="19"/>
  <c r="P374" i="19" s="1"/>
  <c r="BL297" i="21"/>
  <c r="CA297" i="21" s="1"/>
  <c r="AU297" i="21"/>
  <c r="BZ297" i="21"/>
  <c r="BS297" i="21" s="1"/>
  <c r="BT297" i="21" s="1"/>
  <c r="BP298" i="21" s="1"/>
  <c r="BQ298" i="21" s="1"/>
  <c r="BR298" i="21" s="1"/>
  <c r="U374" i="19"/>
  <c r="T374" i="19"/>
  <c r="V374" i="19"/>
  <c r="W373" i="19"/>
  <c r="BM297" i="21" l="1"/>
  <c r="BN297" i="21" s="1"/>
  <c r="BO297" i="21" s="1"/>
  <c r="L375" i="19"/>
  <c r="K375" i="19"/>
  <c r="N375" i="19" s="1"/>
  <c r="M375" i="19"/>
  <c r="O375" i="19"/>
  <c r="J376" i="19" s="1"/>
  <c r="Y374" i="19"/>
  <c r="W374" i="19"/>
  <c r="X374" i="19"/>
  <c r="S375" i="19" s="1"/>
  <c r="L376" i="19" l="1"/>
  <c r="K376" i="19"/>
  <c r="M376" i="19"/>
  <c r="P375" i="19"/>
  <c r="P376" i="19" s="1"/>
  <c r="AT298" i="21"/>
  <c r="BK298" i="21"/>
  <c r="T375" i="19"/>
  <c r="U375" i="19"/>
  <c r="V375" i="19"/>
  <c r="Y375" i="19"/>
  <c r="N376" i="19" l="1"/>
  <c r="O376" i="19"/>
  <c r="J377" i="19" s="1"/>
  <c r="BL298" i="21"/>
  <c r="CA298" i="21" s="1"/>
  <c r="AU298" i="21"/>
  <c r="BZ298" i="21"/>
  <c r="BS298" i="21" s="1"/>
  <c r="BT298" i="21" s="1"/>
  <c r="BP299" i="21" s="1"/>
  <c r="BQ299" i="21" s="1"/>
  <c r="BR299" i="21" s="1"/>
  <c r="W375" i="19"/>
  <c r="X375" i="19"/>
  <c r="S376" i="19" s="1"/>
  <c r="M377" i="19" l="1"/>
  <c r="L377" i="19"/>
  <c r="K377" i="19"/>
  <c r="O377" i="19"/>
  <c r="J378" i="19" s="1"/>
  <c r="BM298" i="21"/>
  <c r="T376" i="19"/>
  <c r="U376" i="19"/>
  <c r="V376" i="19"/>
  <c r="K378" i="19" l="1"/>
  <c r="M378" i="19"/>
  <c r="L378" i="19"/>
  <c r="N378" i="19" s="1"/>
  <c r="N377" i="19"/>
  <c r="P377" i="19"/>
  <c r="P378" i="19" s="1"/>
  <c r="BN298" i="21"/>
  <c r="BO298" i="21" s="1"/>
  <c r="X376" i="19"/>
  <c r="S377" i="19" s="1"/>
  <c r="T377" i="19" s="1"/>
  <c r="U377" i="19"/>
  <c r="V377" i="19"/>
  <c r="W376" i="19"/>
  <c r="Y376" i="19"/>
  <c r="O378" i="19" l="1"/>
  <c r="J379" i="19" s="1"/>
  <c r="AT299" i="21"/>
  <c r="BK299" i="21"/>
  <c r="Y377" i="19"/>
  <c r="X377" i="19"/>
  <c r="S378" i="19" s="1"/>
  <c r="W377" i="19"/>
  <c r="M379" i="19" l="1"/>
  <c r="L379" i="19"/>
  <c r="K379" i="19"/>
  <c r="O379" i="19"/>
  <c r="J380" i="19" s="1"/>
  <c r="BL299" i="21"/>
  <c r="BM299" i="21" s="1"/>
  <c r="BZ299" i="21"/>
  <c r="BS299" i="21" s="1"/>
  <c r="BT299" i="21" s="1"/>
  <c r="BP300" i="21" s="1"/>
  <c r="AU299" i="21"/>
  <c r="U378" i="19"/>
  <c r="V378" i="19"/>
  <c r="T378" i="19"/>
  <c r="K380" i="19" l="1"/>
  <c r="L380" i="19"/>
  <c r="M380" i="19"/>
  <c r="O380" i="19" s="1"/>
  <c r="J381" i="19" s="1"/>
  <c r="N379" i="19"/>
  <c r="P379" i="19"/>
  <c r="P380" i="19" s="1"/>
  <c r="BN299" i="21"/>
  <c r="BO299" i="21" s="1"/>
  <c r="BQ300" i="21"/>
  <c r="BR300" i="21" s="1"/>
  <c r="CA299" i="21"/>
  <c r="W378" i="19"/>
  <c r="Y378" i="19"/>
  <c r="X378" i="19"/>
  <c r="S379" i="19" s="1"/>
  <c r="L381" i="19" l="1"/>
  <c r="K381" i="19"/>
  <c r="M381" i="19"/>
  <c r="O381" i="19"/>
  <c r="J382" i="19" s="1"/>
  <c r="K382" i="19" s="1"/>
  <c r="N380" i="19"/>
  <c r="AT300" i="21"/>
  <c r="BK300" i="21"/>
  <c r="T379" i="19"/>
  <c r="V379" i="19"/>
  <c r="U379" i="19"/>
  <c r="X379" i="19" s="1"/>
  <c r="S380" i="19" s="1"/>
  <c r="L382" i="19"/>
  <c r="M382" i="19" l="1"/>
  <c r="O382" i="19" s="1"/>
  <c r="J383" i="19" s="1"/>
  <c r="N381" i="19"/>
  <c r="P381" i="19"/>
  <c r="P382" i="19" s="1"/>
  <c r="BL300" i="21"/>
  <c r="BS300" i="21"/>
  <c r="BT300" i="21" s="1"/>
  <c r="BP301" i="21" s="1"/>
  <c r="BZ300" i="21"/>
  <c r="AU300" i="21"/>
  <c r="T380" i="19"/>
  <c r="V380" i="19"/>
  <c r="U380" i="19"/>
  <c r="X380" i="19" s="1"/>
  <c r="S381" i="19" s="1"/>
  <c r="W379" i="19"/>
  <c r="Y379" i="19"/>
  <c r="Y380" i="19" s="1"/>
  <c r="M383" i="19" l="1"/>
  <c r="L383" i="19"/>
  <c r="O383" i="19" s="1"/>
  <c r="J384" i="19" s="1"/>
  <c r="K383" i="19"/>
  <c r="N383" i="19" s="1"/>
  <c r="N382" i="19"/>
  <c r="BQ301" i="21"/>
  <c r="BR301" i="21" s="1"/>
  <c r="CA300" i="21"/>
  <c r="BM300" i="21"/>
  <c r="BN300" i="21" s="1"/>
  <c r="BO300" i="21" s="1"/>
  <c r="T381" i="19"/>
  <c r="U381" i="19"/>
  <c r="V381" i="19"/>
  <c r="W380" i="19"/>
  <c r="K384" i="19"/>
  <c r="M384" i="19"/>
  <c r="L384" i="19"/>
  <c r="O384" i="19" s="1"/>
  <c r="J385" i="19" s="1"/>
  <c r="P383" i="19"/>
  <c r="BK301" i="21" l="1"/>
  <c r="AT301" i="21"/>
  <c r="P384" i="19"/>
  <c r="X381" i="19"/>
  <c r="S382" i="19" s="1"/>
  <c r="W381" i="19"/>
  <c r="Y381" i="19"/>
  <c r="K385" i="19"/>
  <c r="L385" i="19"/>
  <c r="M385" i="19"/>
  <c r="N384" i="19"/>
  <c r="BL301" i="21" l="1"/>
  <c r="BM301" i="21"/>
  <c r="BS301" i="21"/>
  <c r="BT301" i="21" s="1"/>
  <c r="BP302" i="21" s="1"/>
  <c r="AU301" i="21"/>
  <c r="BZ301" i="21"/>
  <c r="V382" i="19"/>
  <c r="U382" i="19"/>
  <c r="X382" i="19" s="1"/>
  <c r="S383" i="19" s="1"/>
  <c r="T382" i="19"/>
  <c r="W382" i="19" s="1"/>
  <c r="O385" i="19"/>
  <c r="J386" i="19" s="1"/>
  <c r="M386" i="19" s="1"/>
  <c r="N385" i="19"/>
  <c r="P385" i="19"/>
  <c r="BN301" i="21" l="1"/>
  <c r="BO301" i="21" s="1"/>
  <c r="BK302" i="21" s="1"/>
  <c r="BS302" i="21" s="1"/>
  <c r="BQ302" i="21"/>
  <c r="BR302" i="21"/>
  <c r="CA301" i="21"/>
  <c r="K386" i="19"/>
  <c r="P386" i="19" s="1"/>
  <c r="L386" i="19"/>
  <c r="O386" i="19" s="1"/>
  <c r="J387" i="19" s="1"/>
  <c r="M387" i="19" s="1"/>
  <c r="V383" i="19"/>
  <c r="U383" i="19"/>
  <c r="X383" i="19" s="1"/>
  <c r="S384" i="19" s="1"/>
  <c r="T383" i="19"/>
  <c r="W383" i="19" s="1"/>
  <c r="Y382" i="19"/>
  <c r="Y383" i="19" s="1"/>
  <c r="BT302" i="21" l="1"/>
  <c r="AT302" i="21"/>
  <c r="BZ302" i="21"/>
  <c r="AU302" i="21"/>
  <c r="G32" i="21"/>
  <c r="BL302" i="21"/>
  <c r="G30" i="21" s="1"/>
  <c r="L387" i="19"/>
  <c r="O387" i="19" s="1"/>
  <c r="J388" i="19" s="1"/>
  <c r="K388" i="19" s="1"/>
  <c r="N386" i="19"/>
  <c r="K387" i="19"/>
  <c r="P387" i="19" s="1"/>
  <c r="U384" i="19"/>
  <c r="V384" i="19"/>
  <c r="T384" i="19"/>
  <c r="Y384" i="19"/>
  <c r="L388" i="19" l="1"/>
  <c r="O388" i="19" s="1"/>
  <c r="J389" i="19" s="1"/>
  <c r="K389" i="19" s="1"/>
  <c r="M388" i="19"/>
  <c r="P388" i="19"/>
  <c r="BM302" i="21"/>
  <c r="G33" i="21"/>
  <c r="G39" i="21"/>
  <c r="G31" i="21"/>
  <c r="E41" i="21"/>
  <c r="G38" i="21"/>
  <c r="G41" i="21"/>
  <c r="CA302" i="21"/>
  <c r="N387" i="19"/>
  <c r="N388" i="19"/>
  <c r="M389" i="19"/>
  <c r="W384" i="19"/>
  <c r="X384" i="19"/>
  <c r="S385" i="19" s="1"/>
  <c r="P389" i="19"/>
  <c r="L389" i="19" l="1"/>
  <c r="O389" i="19" s="1"/>
  <c r="J390" i="19" s="1"/>
  <c r="BN302" i="21"/>
  <c r="BO302" i="21" s="1"/>
  <c r="T385" i="19"/>
  <c r="U385" i="19"/>
  <c r="V385" i="19"/>
  <c r="N389" i="19" l="1"/>
  <c r="K390" i="19"/>
  <c r="L390" i="19"/>
  <c r="M390" i="19"/>
  <c r="X385" i="19"/>
  <c r="S386" i="19" s="1"/>
  <c r="U386" i="19" s="1"/>
  <c r="T386" i="19"/>
  <c r="V386" i="19"/>
  <c r="W385" i="19"/>
  <c r="Y385" i="19"/>
  <c r="O390" i="19" l="1"/>
  <c r="J391" i="19" s="1"/>
  <c r="Y386" i="19"/>
  <c r="N390" i="19"/>
  <c r="P390" i="19"/>
  <c r="W386" i="19"/>
  <c r="X386" i="19"/>
  <c r="S387" i="19" s="1"/>
  <c r="K391" i="19" l="1"/>
  <c r="M391" i="19"/>
  <c r="L391" i="19"/>
  <c r="O391" i="19" s="1"/>
  <c r="J392" i="19" s="1"/>
  <c r="U387" i="19"/>
  <c r="T387" i="19"/>
  <c r="V387" i="19"/>
  <c r="X387" i="19" l="1"/>
  <c r="S388" i="19" s="1"/>
  <c r="K392" i="19"/>
  <c r="L392" i="19"/>
  <c r="O392" i="19" s="1"/>
  <c r="J393" i="19" s="1"/>
  <c r="M392" i="19"/>
  <c r="N391" i="19"/>
  <c r="P391" i="19"/>
  <c r="P392" i="19" s="1"/>
  <c r="V388" i="19"/>
  <c r="T388" i="19"/>
  <c r="U388" i="19"/>
  <c r="W387" i="19"/>
  <c r="Y387" i="19"/>
  <c r="Y388" i="19" s="1"/>
  <c r="K393" i="19" l="1"/>
  <c r="L393" i="19"/>
  <c r="M393" i="19"/>
  <c r="O393" i="19" s="1"/>
  <c r="J394" i="19" s="1"/>
  <c r="K394" i="19" s="1"/>
  <c r="N392" i="19"/>
  <c r="X388" i="19"/>
  <c r="S389" i="19" s="1"/>
  <c r="U389" i="19" s="1"/>
  <c r="W388" i="19"/>
  <c r="L394" i="19" l="1"/>
  <c r="M394" i="19"/>
  <c r="V389" i="19"/>
  <c r="X389" i="19" s="1"/>
  <c r="S390" i="19" s="1"/>
  <c r="T389" i="19"/>
  <c r="N393" i="19"/>
  <c r="P393" i="19"/>
  <c r="P394" i="19" s="1"/>
  <c r="O394" i="19"/>
  <c r="J395" i="19" s="1"/>
  <c r="N394" i="19" l="1"/>
  <c r="V390" i="19"/>
  <c r="U390" i="19"/>
  <c r="T390" i="19"/>
  <c r="W390" i="19" s="1"/>
  <c r="W389" i="19"/>
  <c r="Y389" i="19"/>
  <c r="Y390" i="19" s="1"/>
  <c r="M395" i="19"/>
  <c r="K395" i="19"/>
  <c r="L395" i="19"/>
  <c r="X390" i="19" l="1"/>
  <c r="S391" i="19" s="1"/>
  <c r="P395" i="19"/>
  <c r="N395" i="19"/>
  <c r="O395" i="19"/>
  <c r="J396" i="19" s="1"/>
  <c r="T391" i="19" l="1"/>
  <c r="U391" i="19"/>
  <c r="V391" i="19"/>
  <c r="M396" i="19"/>
  <c r="L396" i="19"/>
  <c r="O396" i="19" s="1"/>
  <c r="J397" i="19" s="1"/>
  <c r="K396" i="19"/>
  <c r="X391" i="19" l="1"/>
  <c r="S392" i="19" s="1"/>
  <c r="Y391" i="19"/>
  <c r="W391" i="19"/>
  <c r="N396" i="19"/>
  <c r="K397" i="19"/>
  <c r="L397" i="19"/>
  <c r="M397" i="19"/>
  <c r="P396" i="19"/>
  <c r="O397" i="19" l="1"/>
  <c r="J398" i="19" s="1"/>
  <c r="T392" i="19"/>
  <c r="U392" i="19"/>
  <c r="V392" i="19"/>
  <c r="P397" i="19"/>
  <c r="K398" i="19"/>
  <c r="M398" i="19"/>
  <c r="L398" i="19"/>
  <c r="N397" i="19"/>
  <c r="X392" i="19" l="1"/>
  <c r="S393" i="19" s="1"/>
  <c r="W392" i="19"/>
  <c r="Y392" i="19"/>
  <c r="O398" i="19"/>
  <c r="J399" i="19" s="1"/>
  <c r="K399" i="19" s="1"/>
  <c r="N398" i="19"/>
  <c r="P398" i="19"/>
  <c r="L399" i="19" l="1"/>
  <c r="T393" i="19"/>
  <c r="V393" i="19"/>
  <c r="U393" i="19"/>
  <c r="X393" i="19" s="1"/>
  <c r="S394" i="19" s="1"/>
  <c r="P399" i="19"/>
  <c r="M399" i="19"/>
  <c r="N399" i="19" s="1"/>
  <c r="O399" i="19" l="1"/>
  <c r="J400" i="19" s="1"/>
  <c r="V394" i="19"/>
  <c r="U394" i="19"/>
  <c r="X394" i="19" s="1"/>
  <c r="S395" i="19" s="1"/>
  <c r="T394" i="19"/>
  <c r="W394" i="19" s="1"/>
  <c r="W393" i="19"/>
  <c r="Y393" i="19"/>
  <c r="Y394" i="19" s="1"/>
  <c r="M400" i="19"/>
  <c r="K400" i="19"/>
  <c r="L400" i="19"/>
  <c r="O400" i="19" l="1"/>
  <c r="J401" i="19" s="1"/>
  <c r="T395" i="19"/>
  <c r="V395" i="19"/>
  <c r="U395" i="19"/>
  <c r="K401" i="19"/>
  <c r="M401" i="19"/>
  <c r="L401" i="19"/>
  <c r="P400" i="19"/>
  <c r="N400" i="19"/>
  <c r="X395" i="19" l="1"/>
  <c r="S396" i="19" s="1"/>
  <c r="W395" i="19"/>
  <c r="Y395" i="19"/>
  <c r="O401" i="19"/>
  <c r="J402" i="19" s="1"/>
  <c r="L402" i="19" s="1"/>
  <c r="P401" i="19"/>
  <c r="M402" i="19"/>
  <c r="N401" i="19"/>
  <c r="K402" i="19" l="1"/>
  <c r="V396" i="19"/>
  <c r="T396" i="19"/>
  <c r="U396" i="19"/>
  <c r="X396" i="19"/>
  <c r="S397" i="19" s="1"/>
  <c r="O402" i="19"/>
  <c r="J403" i="19" s="1"/>
  <c r="L403" i="19" s="1"/>
  <c r="N402" i="19"/>
  <c r="P402" i="19"/>
  <c r="M403" i="19" l="1"/>
  <c r="O403" i="19" s="1"/>
  <c r="J404" i="19" s="1"/>
  <c r="K403" i="19"/>
  <c r="U397" i="19"/>
  <c r="V397" i="19"/>
  <c r="T397" i="19"/>
  <c r="W397" i="19" s="1"/>
  <c r="W396" i="19"/>
  <c r="Y396" i="19"/>
  <c r="Y397" i="19" s="1"/>
  <c r="P403" i="19"/>
  <c r="M404" i="19"/>
  <c r="L404" i="19"/>
  <c r="K404" i="19"/>
  <c r="N404" i="19" s="1"/>
  <c r="N403" i="19"/>
  <c r="O404" i="19" l="1"/>
  <c r="J405" i="19" s="1"/>
  <c r="L405" i="19" s="1"/>
  <c r="X397" i="19"/>
  <c r="S398" i="19" s="1"/>
  <c r="M405" i="19"/>
  <c r="P404" i="19"/>
  <c r="O405" i="19"/>
  <c r="J406" i="19" s="1"/>
  <c r="U398" i="19" l="1"/>
  <c r="T398" i="19"/>
  <c r="V398" i="19"/>
  <c r="X398" i="19"/>
  <c r="S399" i="19" s="1"/>
  <c r="K405" i="19"/>
  <c r="N405" i="19" s="1"/>
  <c r="K406" i="19"/>
  <c r="M406" i="19"/>
  <c r="L406" i="19"/>
  <c r="U399" i="19" l="1"/>
  <c r="T399" i="19"/>
  <c r="V399" i="19"/>
  <c r="W398" i="19"/>
  <c r="Y398" i="19"/>
  <c r="Y399" i="19" s="1"/>
  <c r="P405" i="19"/>
  <c r="P406" i="19" s="1"/>
  <c r="O406" i="19"/>
  <c r="J407" i="19" s="1"/>
  <c r="M407" i="19" s="1"/>
  <c r="N406" i="19"/>
  <c r="K407" i="19" l="1"/>
  <c r="P407" i="19" s="1"/>
  <c r="L407" i="19"/>
  <c r="O407" i="19" s="1"/>
  <c r="J408" i="19" s="1"/>
  <c r="M408" i="19" s="1"/>
  <c r="W399" i="19"/>
  <c r="X399" i="19"/>
  <c r="S400" i="19" s="1"/>
  <c r="N407" i="19"/>
  <c r="L408" i="19" l="1"/>
  <c r="O408" i="19" s="1"/>
  <c r="J409" i="19" s="1"/>
  <c r="K409" i="19" s="1"/>
  <c r="K408" i="19"/>
  <c r="N408" i="19" s="1"/>
  <c r="V400" i="19"/>
  <c r="T400" i="19"/>
  <c r="U400" i="19"/>
  <c r="X400" i="19" s="1"/>
  <c r="S401" i="19" s="1"/>
  <c r="M409" i="19"/>
  <c r="L409" i="19" l="1"/>
  <c r="P408" i="19"/>
  <c r="W400" i="19"/>
  <c r="Y400" i="19"/>
  <c r="V401" i="19"/>
  <c r="T401" i="19"/>
  <c r="U401" i="19"/>
  <c r="X401" i="19" s="1"/>
  <c r="S402" i="19" s="1"/>
  <c r="N409" i="19"/>
  <c r="O409" i="19"/>
  <c r="J410" i="19" s="1"/>
  <c r="P409" i="19"/>
  <c r="W401" i="19" l="1"/>
  <c r="V402" i="19"/>
  <c r="T402" i="19"/>
  <c r="U402" i="19"/>
  <c r="X402" i="19" s="1"/>
  <c r="S403" i="19" s="1"/>
  <c r="Y401" i="19"/>
  <c r="Y402" i="19" s="1"/>
  <c r="K410" i="19"/>
  <c r="L410" i="19"/>
  <c r="M410" i="19"/>
  <c r="W402" i="19" l="1"/>
  <c r="T403" i="19"/>
  <c r="U403" i="19"/>
  <c r="V403" i="19"/>
  <c r="X403" i="19"/>
  <c r="S404" i="19" s="1"/>
  <c r="O410" i="19"/>
  <c r="J411" i="19" s="1"/>
  <c r="N410" i="19"/>
  <c r="P410" i="19"/>
  <c r="T404" i="19" l="1"/>
  <c r="V404" i="19"/>
  <c r="U404" i="19"/>
  <c r="X404" i="19"/>
  <c r="S405" i="19" s="1"/>
  <c r="W403" i="19"/>
  <c r="Y403" i="19"/>
  <c r="Y404" i="19" s="1"/>
  <c r="K411" i="19"/>
  <c r="M411" i="19"/>
  <c r="L411" i="19"/>
  <c r="O411" i="19" l="1"/>
  <c r="J412" i="19" s="1"/>
  <c r="U405" i="19"/>
  <c r="T405" i="19"/>
  <c r="V405" i="19"/>
  <c r="Y405" i="19"/>
  <c r="W404" i="19"/>
  <c r="M412" i="19"/>
  <c r="O412" i="19" s="1"/>
  <c r="J413" i="19" s="1"/>
  <c r="K412" i="19"/>
  <c r="L412" i="19"/>
  <c r="N411" i="19"/>
  <c r="P411" i="19"/>
  <c r="W405" i="19" l="1"/>
  <c r="X405" i="19"/>
  <c r="S406" i="19" s="1"/>
  <c r="N412" i="19"/>
  <c r="P412" i="19"/>
  <c r="L413" i="19"/>
  <c r="M413" i="19"/>
  <c r="K413" i="19"/>
  <c r="V406" i="19" l="1"/>
  <c r="T406" i="19"/>
  <c r="U406" i="19"/>
  <c r="X406" i="19" s="1"/>
  <c r="S407" i="19" s="1"/>
  <c r="O413" i="19"/>
  <c r="J414" i="19" s="1"/>
  <c r="L414" i="19" s="1"/>
  <c r="N413" i="19"/>
  <c r="P413" i="19"/>
  <c r="T407" i="19" l="1"/>
  <c r="U407" i="19"/>
  <c r="V407" i="19"/>
  <c r="X407" i="19" s="1"/>
  <c r="S408" i="19" s="1"/>
  <c r="W406" i="19"/>
  <c r="Y406" i="19"/>
  <c r="Y407" i="19" s="1"/>
  <c r="K414" i="19"/>
  <c r="M414" i="19"/>
  <c r="O414" i="19" s="1"/>
  <c r="J415" i="19" s="1"/>
  <c r="N414" i="19" l="1"/>
  <c r="P414" i="19"/>
  <c r="U408" i="19"/>
  <c r="V408" i="19"/>
  <c r="T408" i="19"/>
  <c r="W408" i="19" s="1"/>
  <c r="W407" i="19"/>
  <c r="K415" i="19"/>
  <c r="P415" i="19" s="1"/>
  <c r="L415" i="19"/>
  <c r="M415" i="19"/>
  <c r="N415" i="19" l="1"/>
  <c r="O415" i="19"/>
  <c r="J416" i="19" s="1"/>
  <c r="K416" i="19" s="1"/>
  <c r="X408" i="19"/>
  <c r="S409" i="19" s="1"/>
  <c r="Y408" i="19"/>
  <c r="L416" i="19"/>
  <c r="P416" i="19"/>
  <c r="M416" i="19" l="1"/>
  <c r="O416" i="19" s="1"/>
  <c r="J417" i="19" s="1"/>
  <c r="V409" i="19"/>
  <c r="T409" i="19"/>
  <c r="U409" i="19"/>
  <c r="X409" i="19" s="1"/>
  <c r="S410" i="19" s="1"/>
  <c r="N416" i="19"/>
  <c r="L417" i="19" l="1"/>
  <c r="M417" i="19"/>
  <c r="O417" i="19" s="1"/>
  <c r="J418" i="19" s="1"/>
  <c r="K417" i="19"/>
  <c r="P417" i="19" s="1"/>
  <c r="W409" i="19"/>
  <c r="U410" i="19"/>
  <c r="T410" i="19"/>
  <c r="V410" i="19"/>
  <c r="X410" i="19"/>
  <c r="S411" i="19" s="1"/>
  <c r="Y409" i="19"/>
  <c r="Y410" i="19" s="1"/>
  <c r="K418" i="19" l="1"/>
  <c r="P418" i="19" s="1"/>
  <c r="M418" i="19"/>
  <c r="L418" i="19"/>
  <c r="O418" i="19" s="1"/>
  <c r="J419" i="19" s="1"/>
  <c r="N417" i="19"/>
  <c r="U411" i="19"/>
  <c r="T411" i="19"/>
  <c r="V411" i="19"/>
  <c r="W410" i="19"/>
  <c r="N418" i="19" l="1"/>
  <c r="Y411" i="19"/>
  <c r="W411" i="19"/>
  <c r="X411" i="19"/>
  <c r="S412" i="19" s="1"/>
  <c r="K419" i="19"/>
  <c r="M419" i="19"/>
  <c r="L419" i="19"/>
  <c r="O419" i="19" s="1"/>
  <c r="J420" i="19" s="1"/>
  <c r="T412" i="19" l="1"/>
  <c r="U412" i="19"/>
  <c r="V412" i="19"/>
  <c r="Y412" i="19"/>
  <c r="L420" i="19"/>
  <c r="K420" i="19"/>
  <c r="M420" i="19"/>
  <c r="O420" i="19" s="1"/>
  <c r="J421" i="19" s="1"/>
  <c r="P419" i="19"/>
  <c r="N419" i="19"/>
  <c r="X412" i="19" l="1"/>
  <c r="S413" i="19" s="1"/>
  <c r="P420" i="19"/>
  <c r="W412" i="19"/>
  <c r="M421" i="19"/>
  <c r="K421" i="19"/>
  <c r="L421" i="19"/>
  <c r="N420" i="19"/>
  <c r="T413" i="19" l="1"/>
  <c r="V413" i="19"/>
  <c r="U413" i="19"/>
  <c r="X413" i="19" s="1"/>
  <c r="S414" i="19" s="1"/>
  <c r="O421" i="19"/>
  <c r="J422" i="19" s="1"/>
  <c r="N421" i="19"/>
  <c r="P421" i="19"/>
  <c r="T414" i="19" l="1"/>
  <c r="U414" i="19"/>
  <c r="V414" i="19"/>
  <c r="Y413" i="19"/>
  <c r="Y414" i="19" s="1"/>
  <c r="W413" i="19"/>
  <c r="K422" i="19"/>
  <c r="M422" i="19"/>
  <c r="L422" i="19"/>
  <c r="O422" i="19" s="1"/>
  <c r="J423" i="19" s="1"/>
  <c r="X414" i="19" l="1"/>
  <c r="S415" i="19" s="1"/>
  <c r="W414" i="19"/>
  <c r="K423" i="19"/>
  <c r="M423" i="19"/>
  <c r="L423" i="19"/>
  <c r="P422" i="19"/>
  <c r="P423" i="19" s="1"/>
  <c r="N422" i="19"/>
  <c r="O423" i="19" l="1"/>
  <c r="J424" i="19" s="1"/>
  <c r="T415" i="19"/>
  <c r="U415" i="19"/>
  <c r="V415" i="19"/>
  <c r="K424" i="19"/>
  <c r="L424" i="19"/>
  <c r="M424" i="19"/>
  <c r="O424" i="19" s="1"/>
  <c r="J425" i="19" s="1"/>
  <c r="N423" i="19"/>
  <c r="X415" i="19" l="1"/>
  <c r="S416" i="19" s="1"/>
  <c r="V416" i="19"/>
  <c r="U416" i="19"/>
  <c r="T416" i="19"/>
  <c r="W416" i="19" s="1"/>
  <c r="W415" i="19"/>
  <c r="Y415" i="19"/>
  <c r="M425" i="19"/>
  <c r="K425" i="19"/>
  <c r="L425" i="19"/>
  <c r="P424" i="19"/>
  <c r="N424" i="19"/>
  <c r="Y416" i="19" l="1"/>
  <c r="O425" i="19"/>
  <c r="J426" i="19" s="1"/>
  <c r="M426" i="19" s="1"/>
  <c r="X416" i="19"/>
  <c r="S417" i="19" s="1"/>
  <c r="L426" i="19"/>
  <c r="K426" i="19"/>
  <c r="N425" i="19"/>
  <c r="P425" i="19"/>
  <c r="O426" i="19" l="1"/>
  <c r="J427" i="19" s="1"/>
  <c r="M427" i="19" s="1"/>
  <c r="V417" i="19"/>
  <c r="T417" i="19"/>
  <c r="U417" i="19"/>
  <c r="X417" i="19"/>
  <c r="S418" i="19" s="1"/>
  <c r="P426" i="19"/>
  <c r="N426" i="19"/>
  <c r="K427" i="19"/>
  <c r="L427" i="19"/>
  <c r="T418" i="19" l="1"/>
  <c r="U418" i="19"/>
  <c r="V418" i="19"/>
  <c r="X418" i="19" s="1"/>
  <c r="S419" i="19" s="1"/>
  <c r="W417" i="19"/>
  <c r="Y417" i="19"/>
  <c r="Y418" i="19" s="1"/>
  <c r="O427" i="19"/>
  <c r="J428" i="19" s="1"/>
  <c r="N427" i="19"/>
  <c r="P427" i="19"/>
  <c r="V419" i="19" l="1"/>
  <c r="T419" i="19"/>
  <c r="U419" i="19"/>
  <c r="X419" i="19"/>
  <c r="S420" i="19" s="1"/>
  <c r="Y419" i="19"/>
  <c r="W418" i="19"/>
  <c r="M428" i="19"/>
  <c r="L428" i="19"/>
  <c r="K428" i="19"/>
  <c r="O428" i="19" l="1"/>
  <c r="J429" i="19" s="1"/>
  <c r="U420" i="19"/>
  <c r="V420" i="19"/>
  <c r="T420" i="19"/>
  <c r="W420" i="19" s="1"/>
  <c r="W419" i="19"/>
  <c r="N428" i="19"/>
  <c r="M429" i="19"/>
  <c r="L429" i="19"/>
  <c r="O429" i="19" s="1"/>
  <c r="J430" i="19" s="1"/>
  <c r="K429" i="19"/>
  <c r="P428" i="19"/>
  <c r="P429" i="19" l="1"/>
  <c r="X420" i="19"/>
  <c r="S421" i="19" s="1"/>
  <c r="N429" i="19"/>
  <c r="Y420" i="19"/>
  <c r="K430" i="19"/>
  <c r="M430" i="19"/>
  <c r="L430" i="19"/>
  <c r="O430" i="19" s="1"/>
  <c r="J431" i="19" s="1"/>
  <c r="T421" i="19" l="1"/>
  <c r="U421" i="19"/>
  <c r="V421" i="19"/>
  <c r="X421" i="19"/>
  <c r="S422" i="19" s="1"/>
  <c r="K431" i="19"/>
  <c r="M431" i="19"/>
  <c r="L431" i="19"/>
  <c r="O431" i="19" s="1"/>
  <c r="J432" i="19" s="1"/>
  <c r="N430" i="19"/>
  <c r="P430" i="19"/>
  <c r="U422" i="19" l="1"/>
  <c r="T422" i="19"/>
  <c r="V422" i="19"/>
  <c r="P431" i="19"/>
  <c r="W421" i="19"/>
  <c r="Y421" i="19"/>
  <c r="Y422" i="19" s="1"/>
  <c r="L432" i="19"/>
  <c r="K432" i="19"/>
  <c r="M432" i="19"/>
  <c r="N431" i="19"/>
  <c r="W422" i="19" l="1"/>
  <c r="X422" i="19"/>
  <c r="S423" i="19" s="1"/>
  <c r="P432" i="19"/>
  <c r="N432" i="19"/>
  <c r="O432" i="19"/>
  <c r="J433" i="19" s="1"/>
  <c r="T423" i="19" l="1"/>
  <c r="V423" i="19"/>
  <c r="U423" i="19"/>
  <c r="X423" i="19" s="1"/>
  <c r="S424" i="19" s="1"/>
  <c r="M433" i="19"/>
  <c r="K433" i="19"/>
  <c r="P433" i="19" s="1"/>
  <c r="L433" i="19"/>
  <c r="U424" i="19" l="1"/>
  <c r="T424" i="19"/>
  <c r="V424" i="19"/>
  <c r="X424" i="19"/>
  <c r="S425" i="19" s="1"/>
  <c r="W423" i="19"/>
  <c r="Y423" i="19"/>
  <c r="Y424" i="19" s="1"/>
  <c r="N433" i="19"/>
  <c r="O433" i="19"/>
  <c r="J434" i="19" s="1"/>
  <c r="V425" i="19" l="1"/>
  <c r="T425" i="19"/>
  <c r="U425" i="19"/>
  <c r="X425" i="19" s="1"/>
  <c r="S426" i="19" s="1"/>
  <c r="W424" i="19"/>
  <c r="L434" i="19"/>
  <c r="K434" i="19"/>
  <c r="M434" i="19"/>
  <c r="O434" i="19" l="1"/>
  <c r="J435" i="19" s="1"/>
  <c r="W425" i="19"/>
  <c r="T426" i="19"/>
  <c r="V426" i="19"/>
  <c r="U426" i="19"/>
  <c r="Y425" i="19"/>
  <c r="Y426" i="19" s="1"/>
  <c r="L435" i="19"/>
  <c r="M435" i="19"/>
  <c r="K435" i="19"/>
  <c r="N434" i="19"/>
  <c r="P434" i="19"/>
  <c r="O435" i="19" l="1"/>
  <c r="J436" i="19" s="1"/>
  <c r="N435" i="19"/>
  <c r="X426" i="19"/>
  <c r="S427" i="19" s="1"/>
  <c r="P435" i="19"/>
  <c r="W426" i="19"/>
  <c r="M436" i="19"/>
  <c r="K436" i="19"/>
  <c r="L436" i="19"/>
  <c r="O436" i="19" s="1"/>
  <c r="J437" i="19" s="1"/>
  <c r="T427" i="19" l="1"/>
  <c r="V427" i="19"/>
  <c r="U427" i="19"/>
  <c r="L437" i="19"/>
  <c r="M437" i="19"/>
  <c r="K437" i="19"/>
  <c r="N437" i="19" s="1"/>
  <c r="O437" i="19"/>
  <c r="J438" i="19" s="1"/>
  <c r="N436" i="19"/>
  <c r="P436" i="19"/>
  <c r="P437" i="19" l="1"/>
  <c r="X427" i="19"/>
  <c r="S428" i="19" s="1"/>
  <c r="W427" i="19"/>
  <c r="Y427" i="19"/>
  <c r="K438" i="19"/>
  <c r="M438" i="19"/>
  <c r="L438" i="19"/>
  <c r="V428" i="19" l="1"/>
  <c r="U428" i="19"/>
  <c r="X428" i="19" s="1"/>
  <c r="S429" i="19" s="1"/>
  <c r="T428" i="19"/>
  <c r="O438" i="19"/>
  <c r="J439" i="19" s="1"/>
  <c r="N438" i="19"/>
  <c r="P438" i="19"/>
  <c r="W428" i="19" l="1"/>
  <c r="U429" i="19"/>
  <c r="T429" i="19"/>
  <c r="V429" i="19"/>
  <c r="Y428" i="19"/>
  <c r="Y429" i="19" s="1"/>
  <c r="K439" i="19"/>
  <c r="M439" i="19"/>
  <c r="L439" i="19"/>
  <c r="O439" i="19" s="1"/>
  <c r="J440" i="19" s="1"/>
  <c r="W429" i="19" l="1"/>
  <c r="X429" i="19"/>
  <c r="S430" i="19" s="1"/>
  <c r="L440" i="19"/>
  <c r="M440" i="19"/>
  <c r="K440" i="19"/>
  <c r="N439" i="19"/>
  <c r="P439" i="19"/>
  <c r="N440" i="19" l="1"/>
  <c r="T430" i="19"/>
  <c r="U430" i="19"/>
  <c r="V430" i="19"/>
  <c r="P440" i="19"/>
  <c r="O440" i="19"/>
  <c r="J441" i="19" s="1"/>
  <c r="X430" i="19" l="1"/>
  <c r="S431" i="19" s="1"/>
  <c r="W430" i="19"/>
  <c r="Y430" i="19"/>
  <c r="K441" i="19"/>
  <c r="M441" i="19"/>
  <c r="L441" i="19"/>
  <c r="O441" i="19" s="1"/>
  <c r="J442" i="19" s="1"/>
  <c r="V431" i="19" l="1"/>
  <c r="T431" i="19"/>
  <c r="U431" i="19"/>
  <c r="X431" i="19"/>
  <c r="S432" i="19" s="1"/>
  <c r="K442" i="19"/>
  <c r="L442" i="19"/>
  <c r="M442" i="19"/>
  <c r="N441" i="19"/>
  <c r="P441" i="19"/>
  <c r="O442" i="19" l="1"/>
  <c r="J443" i="19" s="1"/>
  <c r="P442" i="19"/>
  <c r="T432" i="19"/>
  <c r="U432" i="19"/>
  <c r="V432" i="19"/>
  <c r="W431" i="19"/>
  <c r="Y431" i="19"/>
  <c r="Y432" i="19" s="1"/>
  <c r="K443" i="19"/>
  <c r="L443" i="19"/>
  <c r="M443" i="19"/>
  <c r="N442" i="19"/>
  <c r="X432" i="19" l="1"/>
  <c r="S433" i="19" s="1"/>
  <c r="T433" i="19"/>
  <c r="U433" i="19"/>
  <c r="V433" i="19"/>
  <c r="Y433" i="19"/>
  <c r="W432" i="19"/>
  <c r="O443" i="19"/>
  <c r="J444" i="19" s="1"/>
  <c r="N443" i="19"/>
  <c r="P443" i="19"/>
  <c r="X433" i="19" l="1"/>
  <c r="S434" i="19" s="1"/>
  <c r="W433" i="19"/>
  <c r="L444" i="19"/>
  <c r="K444" i="19"/>
  <c r="M444" i="19"/>
  <c r="O444" i="19" s="1"/>
  <c r="J445" i="19" s="1"/>
  <c r="V434" i="19" l="1"/>
  <c r="T434" i="19"/>
  <c r="U434" i="19"/>
  <c r="X434" i="19"/>
  <c r="S435" i="19" s="1"/>
  <c r="L445" i="19"/>
  <c r="K445" i="19"/>
  <c r="M445" i="19"/>
  <c r="N445" i="19" s="1"/>
  <c r="N444" i="19"/>
  <c r="P444" i="19"/>
  <c r="V435" i="19" l="1"/>
  <c r="U435" i="19"/>
  <c r="X435" i="19" s="1"/>
  <c r="S436" i="19" s="1"/>
  <c r="T435" i="19"/>
  <c r="W435" i="19" s="1"/>
  <c r="P445" i="19"/>
  <c r="W434" i="19"/>
  <c r="Y434" i="19"/>
  <c r="Y435" i="19" s="1"/>
  <c r="O445" i="19"/>
  <c r="J446" i="19" s="1"/>
  <c r="T436" i="19" l="1"/>
  <c r="U436" i="19"/>
  <c r="V436" i="19"/>
  <c r="X436" i="19" s="1"/>
  <c r="S437" i="19" s="1"/>
  <c r="Y436" i="19"/>
  <c r="L446" i="19"/>
  <c r="K446" i="19"/>
  <c r="M446" i="19"/>
  <c r="V437" i="19" l="1"/>
  <c r="U437" i="19"/>
  <c r="X437" i="19" s="1"/>
  <c r="S438" i="19" s="1"/>
  <c r="T437" i="19"/>
  <c r="W437" i="19" s="1"/>
  <c r="W436" i="19"/>
  <c r="N446" i="19"/>
  <c r="P446" i="19"/>
  <c r="O446" i="19"/>
  <c r="J447" i="19" s="1"/>
  <c r="T438" i="19" l="1"/>
  <c r="V438" i="19"/>
  <c r="U438" i="19"/>
  <c r="X438" i="19" s="1"/>
  <c r="S439" i="19" s="1"/>
  <c r="Y437" i="19"/>
  <c r="Y438" i="19" s="1"/>
  <c r="M447" i="19"/>
  <c r="L447" i="19"/>
  <c r="K447" i="19"/>
  <c r="N447" i="19" s="1"/>
  <c r="O447" i="19"/>
  <c r="J448" i="19" s="1"/>
  <c r="U439" i="19" l="1"/>
  <c r="T439" i="19"/>
  <c r="V439" i="19"/>
  <c r="W438" i="19"/>
  <c r="K448" i="19"/>
  <c r="L448" i="19"/>
  <c r="M448" i="19"/>
  <c r="P447" i="19"/>
  <c r="O448" i="19" l="1"/>
  <c r="J449" i="19" s="1"/>
  <c r="Y439" i="19"/>
  <c r="W439" i="19"/>
  <c r="P448" i="19"/>
  <c r="X439" i="19"/>
  <c r="S440" i="19" s="1"/>
  <c r="M449" i="19"/>
  <c r="K449" i="19"/>
  <c r="L449" i="19"/>
  <c r="O449" i="19" s="1"/>
  <c r="J450" i="19" s="1"/>
  <c r="N448" i="19"/>
  <c r="P449" i="19" l="1"/>
  <c r="T440" i="19"/>
  <c r="V440" i="19"/>
  <c r="U440" i="19"/>
  <c r="X440" i="19"/>
  <c r="S441" i="19" s="1"/>
  <c r="Y440" i="19"/>
  <c r="L450" i="19"/>
  <c r="M450" i="19"/>
  <c r="K450" i="19"/>
  <c r="N449" i="19"/>
  <c r="O450" i="19" l="1"/>
  <c r="J451" i="19" s="1"/>
  <c r="K451" i="19" s="1"/>
  <c r="N450" i="19"/>
  <c r="U441" i="19"/>
  <c r="T441" i="19"/>
  <c r="V441" i="19"/>
  <c r="P450" i="19"/>
  <c r="W440" i="19"/>
  <c r="M451" i="19"/>
  <c r="L451" i="19"/>
  <c r="P451" i="19" l="1"/>
  <c r="N451" i="19"/>
  <c r="O451" i="19"/>
  <c r="J452" i="19" s="1"/>
  <c r="K452" i="19" s="1"/>
  <c r="P452" i="19" s="1"/>
  <c r="Y441" i="19"/>
  <c r="W441" i="19"/>
  <c r="X441" i="19"/>
  <c r="S442" i="19" s="1"/>
  <c r="L452" i="19" l="1"/>
  <c r="M452" i="19"/>
  <c r="O452" i="19" s="1"/>
  <c r="J453" i="19" s="1"/>
  <c r="V442" i="19"/>
  <c r="T442" i="19"/>
  <c r="U442" i="19"/>
  <c r="X442" i="19" s="1"/>
  <c r="S443" i="19" s="1"/>
  <c r="Y442" i="19"/>
  <c r="N452" i="19"/>
  <c r="M453" i="19" l="1"/>
  <c r="K453" i="19"/>
  <c r="L453" i="19"/>
  <c r="O453" i="19" s="1"/>
  <c r="J454" i="19" s="1"/>
  <c r="M454" i="19" s="1"/>
  <c r="V443" i="19"/>
  <c r="T443" i="19"/>
  <c r="U443" i="19"/>
  <c r="X443" i="19" s="1"/>
  <c r="S444" i="19" s="1"/>
  <c r="W442" i="19"/>
  <c r="N453" i="19" l="1"/>
  <c r="P453" i="19"/>
  <c r="K454" i="19"/>
  <c r="P454" i="19" s="1"/>
  <c r="L454" i="19"/>
  <c r="O454" i="19" s="1"/>
  <c r="J455" i="19" s="1"/>
  <c r="K455" i="19" s="1"/>
  <c r="V444" i="19"/>
  <c r="T444" i="19"/>
  <c r="U444" i="19"/>
  <c r="W443" i="19"/>
  <c r="Y443" i="19"/>
  <c r="Y444" i="19" s="1"/>
  <c r="N454" i="19" l="1"/>
  <c r="M455" i="19"/>
  <c r="L455" i="19"/>
  <c r="O455" i="19"/>
  <c r="J456" i="19" s="1"/>
  <c r="L456" i="19" s="1"/>
  <c r="W444" i="19"/>
  <c r="X444" i="19"/>
  <c r="S445" i="19" s="1"/>
  <c r="N455" i="19"/>
  <c r="P455" i="19"/>
  <c r="K456" i="19" l="1"/>
  <c r="M456" i="19"/>
  <c r="N456" i="19" s="1"/>
  <c r="O456" i="19"/>
  <c r="J457" i="19" s="1"/>
  <c r="K457" i="19" s="1"/>
  <c r="T445" i="19"/>
  <c r="V445" i="19"/>
  <c r="U445" i="19"/>
  <c r="X445" i="19"/>
  <c r="S446" i="19" s="1"/>
  <c r="P456" i="19"/>
  <c r="L457" i="19" l="1"/>
  <c r="M457" i="19"/>
  <c r="N457" i="19" s="1"/>
  <c r="U446" i="19"/>
  <c r="V446" i="19"/>
  <c r="X446" i="19"/>
  <c r="S447" i="19" s="1"/>
  <c r="T446" i="19"/>
  <c r="W446" i="19" s="1"/>
  <c r="W445" i="19"/>
  <c r="Y445" i="19"/>
  <c r="Y446" i="19" s="1"/>
  <c r="P457" i="19"/>
  <c r="O457" i="19"/>
  <c r="J458" i="19" s="1"/>
  <c r="U447" i="19" l="1"/>
  <c r="V447" i="19"/>
  <c r="X447" i="19" s="1"/>
  <c r="S448" i="19" s="1"/>
  <c r="T447" i="19"/>
  <c r="W447" i="19" s="1"/>
  <c r="L458" i="19"/>
  <c r="K458" i="19"/>
  <c r="P458" i="19" s="1"/>
  <c r="M458" i="19"/>
  <c r="O458" i="19" s="1"/>
  <c r="J459" i="19" s="1"/>
  <c r="Y447" i="19" l="1"/>
  <c r="U448" i="19"/>
  <c r="V448" i="19"/>
  <c r="T448" i="19"/>
  <c r="W448" i="19" s="1"/>
  <c r="L459" i="19"/>
  <c r="K459" i="19"/>
  <c r="M459" i="19"/>
  <c r="N458" i="19"/>
  <c r="O459" i="19" l="1"/>
  <c r="J460" i="19" s="1"/>
  <c r="Y448" i="19"/>
  <c r="X448" i="19"/>
  <c r="S449" i="19" s="1"/>
  <c r="L460" i="19"/>
  <c r="M460" i="19"/>
  <c r="O460" i="19" s="1"/>
  <c r="J461" i="19" s="1"/>
  <c r="K460" i="19"/>
  <c r="N459" i="19"/>
  <c r="P459" i="19"/>
  <c r="N460" i="19" l="1"/>
  <c r="P460" i="19"/>
  <c r="V449" i="19"/>
  <c r="U449" i="19"/>
  <c r="T449" i="19"/>
  <c r="X449" i="19"/>
  <c r="S450" i="19" s="1"/>
  <c r="M461" i="19"/>
  <c r="L461" i="19"/>
  <c r="O461" i="19" s="1"/>
  <c r="J462" i="19" s="1"/>
  <c r="K461" i="19"/>
  <c r="N461" i="19" l="1"/>
  <c r="W449" i="19"/>
  <c r="Y449" i="19"/>
  <c r="U450" i="19"/>
  <c r="T450" i="19"/>
  <c r="Y450" i="19" s="1"/>
  <c r="V450" i="19"/>
  <c r="X450" i="19"/>
  <c r="S451" i="19" s="1"/>
  <c r="P461" i="19"/>
  <c r="M462" i="19"/>
  <c r="K462" i="19"/>
  <c r="L462" i="19"/>
  <c r="W450" i="19" l="1"/>
  <c r="T451" i="19"/>
  <c r="U451" i="19"/>
  <c r="V451" i="19"/>
  <c r="X451" i="19" s="1"/>
  <c r="S452" i="19" s="1"/>
  <c r="Y451" i="19"/>
  <c r="O462" i="19"/>
  <c r="J463" i="19" s="1"/>
  <c r="N462" i="19"/>
  <c r="P462" i="19"/>
  <c r="L463" i="19" l="1"/>
  <c r="K463" i="19"/>
  <c r="M463" i="19"/>
  <c r="P463" i="19"/>
  <c r="U452" i="19"/>
  <c r="T452" i="19"/>
  <c r="V452" i="19"/>
  <c r="W451" i="19"/>
  <c r="N463" i="19" l="1"/>
  <c r="O463" i="19"/>
  <c r="J464" i="19" s="1"/>
  <c r="K464" i="19" s="1"/>
  <c r="P464" i="19" s="1"/>
  <c r="L464" i="19"/>
  <c r="M464" i="19"/>
  <c r="O464" i="19" s="1"/>
  <c r="J465" i="19" s="1"/>
  <c r="M465" i="19" s="1"/>
  <c r="W452" i="19"/>
  <c r="X452" i="19"/>
  <c r="S453" i="19" s="1"/>
  <c r="Y452" i="19"/>
  <c r="K465" i="19" l="1"/>
  <c r="P465" i="19" s="1"/>
  <c r="L465" i="19"/>
  <c r="N465" i="19" s="1"/>
  <c r="N464" i="19"/>
  <c r="O465" i="19"/>
  <c r="J466" i="19" s="1"/>
  <c r="K466" i="19" s="1"/>
  <c r="U453" i="19"/>
  <c r="V453" i="19"/>
  <c r="T453" i="19"/>
  <c r="X453" i="19"/>
  <c r="S454" i="19" s="1"/>
  <c r="L466" i="19" l="1"/>
  <c r="M466" i="19"/>
  <c r="T454" i="19"/>
  <c r="V454" i="19"/>
  <c r="U454" i="19"/>
  <c r="X454" i="19"/>
  <c r="S455" i="19" s="1"/>
  <c r="Y453" i="19"/>
  <c r="Y454" i="19" s="1"/>
  <c r="W453" i="19"/>
  <c r="P466" i="19"/>
  <c r="N466" i="19"/>
  <c r="O466" i="19" l="1"/>
  <c r="J467" i="19" s="1"/>
  <c r="T455" i="19"/>
  <c r="U455" i="19"/>
  <c r="V455" i="19"/>
  <c r="W454" i="19"/>
  <c r="L467" i="19" l="1"/>
  <c r="K467" i="19"/>
  <c r="M467" i="19"/>
  <c r="X455" i="19"/>
  <c r="S456" i="19" s="1"/>
  <c r="W455" i="19"/>
  <c r="Y455" i="19"/>
  <c r="P467" i="19" l="1"/>
  <c r="N467" i="19"/>
  <c r="O467" i="19"/>
  <c r="J468" i="19" s="1"/>
  <c r="T456" i="19"/>
  <c r="U456" i="19"/>
  <c r="V456" i="19"/>
  <c r="K468" i="19" l="1"/>
  <c r="L468" i="19"/>
  <c r="M468" i="19"/>
  <c r="O468" i="19" s="1"/>
  <c r="J469" i="19" s="1"/>
  <c r="P468" i="19"/>
  <c r="X456" i="19"/>
  <c r="S457" i="19" s="1"/>
  <c r="T457" i="19" s="1"/>
  <c r="V457" i="19"/>
  <c r="U457" i="19"/>
  <c r="W456" i="19"/>
  <c r="Y456" i="19"/>
  <c r="K469" i="19" l="1"/>
  <c r="L469" i="19"/>
  <c r="M469" i="19"/>
  <c r="P469" i="19"/>
  <c r="O469" i="19"/>
  <c r="J470" i="19" s="1"/>
  <c r="M470" i="19" s="1"/>
  <c r="N468" i="19"/>
  <c r="Y457" i="19"/>
  <c r="W457" i="19"/>
  <c r="X457" i="19"/>
  <c r="S458" i="19" s="1"/>
  <c r="K470" i="19" l="1"/>
  <c r="L470" i="19"/>
  <c r="O470" i="19" s="1"/>
  <c r="J471" i="19" s="1"/>
  <c r="N469" i="19"/>
  <c r="T458" i="19"/>
  <c r="U458" i="19"/>
  <c r="V458" i="19"/>
  <c r="X458" i="19"/>
  <c r="S459" i="19" s="1"/>
  <c r="N470" i="19"/>
  <c r="P470" i="19"/>
  <c r="M471" i="19" l="1"/>
  <c r="K471" i="19"/>
  <c r="L471" i="19"/>
  <c r="O471" i="19" s="1"/>
  <c r="J472" i="19" s="1"/>
  <c r="M472" i="19" s="1"/>
  <c r="N471" i="19"/>
  <c r="V459" i="19"/>
  <c r="T459" i="19"/>
  <c r="U459" i="19"/>
  <c r="X459" i="19" s="1"/>
  <c r="S460" i="19" s="1"/>
  <c r="P471" i="19"/>
  <c r="W458" i="19"/>
  <c r="Y458" i="19"/>
  <c r="L472" i="19" l="1"/>
  <c r="K472" i="19"/>
  <c r="O472" i="19"/>
  <c r="J473" i="19" s="1"/>
  <c r="K473" i="19" s="1"/>
  <c r="V460" i="19"/>
  <c r="U460" i="19"/>
  <c r="T460" i="19"/>
  <c r="W460" i="19" s="1"/>
  <c r="X460" i="19"/>
  <c r="S461" i="19" s="1"/>
  <c r="W459" i="19"/>
  <c r="Y459" i="19"/>
  <c r="P472" i="19"/>
  <c r="N472" i="19"/>
  <c r="M473" i="19" l="1"/>
  <c r="L473" i="19"/>
  <c r="O473" i="19" s="1"/>
  <c r="J474" i="19" s="1"/>
  <c r="L474" i="19"/>
  <c r="K474" i="19"/>
  <c r="M474" i="19"/>
  <c r="O474" i="19"/>
  <c r="J475" i="19" s="1"/>
  <c r="N473" i="19"/>
  <c r="P473" i="19"/>
  <c r="P474" i="19" s="1"/>
  <c r="V461" i="19"/>
  <c r="T461" i="19"/>
  <c r="W461" i="19" s="1"/>
  <c r="U461" i="19"/>
  <c r="Y460" i="19"/>
  <c r="Y461" i="19" l="1"/>
  <c r="N474" i="19"/>
  <c r="L475" i="19"/>
  <c r="K475" i="19"/>
  <c r="M475" i="19"/>
  <c r="X461" i="19"/>
  <c r="S462" i="19" s="1"/>
  <c r="N475" i="19" l="1"/>
  <c r="U462" i="19"/>
  <c r="V462" i="19"/>
  <c r="T462" i="19"/>
  <c r="W462" i="19" s="1"/>
  <c r="X462" i="19"/>
  <c r="S463" i="19" s="1"/>
  <c r="O475" i="19"/>
  <c r="J476" i="19" s="1"/>
  <c r="P475" i="19"/>
  <c r="M476" i="19" l="1"/>
  <c r="K476" i="19"/>
  <c r="L476" i="19"/>
  <c r="T463" i="19"/>
  <c r="V463" i="19"/>
  <c r="U463" i="19"/>
  <c r="W463" i="19" s="1"/>
  <c r="X463" i="19"/>
  <c r="S464" i="19" s="1"/>
  <c r="Y462" i="19"/>
  <c r="Y463" i="19" s="1"/>
  <c r="T464" i="19" l="1"/>
  <c r="U464" i="19"/>
  <c r="V464" i="19"/>
  <c r="X464" i="19"/>
  <c r="S465" i="19" s="1"/>
  <c r="N476" i="19"/>
  <c r="P476" i="19"/>
  <c r="O476" i="19"/>
  <c r="J477" i="19" s="1"/>
  <c r="K477" i="19" l="1"/>
  <c r="L477" i="19"/>
  <c r="M477" i="19"/>
  <c r="O477" i="19" s="1"/>
  <c r="J478" i="19" s="1"/>
  <c r="U465" i="19"/>
  <c r="T465" i="19"/>
  <c r="V465" i="19"/>
  <c r="X465" i="19" s="1"/>
  <c r="S466" i="19" s="1"/>
  <c r="P477" i="19"/>
  <c r="W464" i="19"/>
  <c r="Y464" i="19"/>
  <c r="T466" i="19" l="1"/>
  <c r="V466" i="19"/>
  <c r="U466" i="19"/>
  <c r="X466" i="19" s="1"/>
  <c r="S467" i="19" s="1"/>
  <c r="L478" i="19"/>
  <c r="K478" i="19"/>
  <c r="M478" i="19"/>
  <c r="O478" i="19" s="1"/>
  <c r="J479" i="19" s="1"/>
  <c r="W465" i="19"/>
  <c r="Y465" i="19"/>
  <c r="Y466" i="19" s="1"/>
  <c r="N477" i="19"/>
  <c r="N478" i="19" l="1"/>
  <c r="M479" i="19"/>
  <c r="K479" i="19"/>
  <c r="L479" i="19"/>
  <c r="O479" i="19" s="1"/>
  <c r="J480" i="19" s="1"/>
  <c r="U467" i="19"/>
  <c r="V467" i="19"/>
  <c r="T467" i="19"/>
  <c r="W467" i="19" s="1"/>
  <c r="X467" i="19"/>
  <c r="S468" i="19" s="1"/>
  <c r="P478" i="19"/>
  <c r="W466" i="19"/>
  <c r="V468" i="19" l="1"/>
  <c r="T468" i="19"/>
  <c r="U468" i="19"/>
  <c r="X468" i="19" s="1"/>
  <c r="S469" i="19" s="1"/>
  <c r="M480" i="19"/>
  <c r="K480" i="19"/>
  <c r="L480" i="19"/>
  <c r="O480" i="19" s="1"/>
  <c r="J481" i="19" s="1"/>
  <c r="N479" i="19"/>
  <c r="P479" i="19"/>
  <c r="P480" i="19" s="1"/>
  <c r="Y467" i="19"/>
  <c r="N480" i="19" l="1"/>
  <c r="M481" i="19"/>
  <c r="K481" i="19"/>
  <c r="L481" i="19"/>
  <c r="O481" i="19" s="1"/>
  <c r="J482" i="19" s="1"/>
  <c r="T469" i="19"/>
  <c r="V469" i="19"/>
  <c r="U469" i="19"/>
  <c r="X469" i="19" s="1"/>
  <c r="S470" i="19" s="1"/>
  <c r="W468" i="19"/>
  <c r="Y468" i="19"/>
  <c r="M482" i="19" l="1"/>
  <c r="K482" i="19"/>
  <c r="L482" i="19"/>
  <c r="O482" i="19" s="1"/>
  <c r="J483" i="19" s="1"/>
  <c r="U470" i="19"/>
  <c r="V470" i="19"/>
  <c r="T470" i="19"/>
  <c r="W470" i="19" s="1"/>
  <c r="X470" i="19"/>
  <c r="S471" i="19" s="1"/>
  <c r="W469" i="19"/>
  <c r="N481" i="19"/>
  <c r="Y469" i="19"/>
  <c r="P481" i="19"/>
  <c r="P482" i="19" s="1"/>
  <c r="T471" i="19" l="1"/>
  <c r="V471" i="19"/>
  <c r="U471" i="19"/>
  <c r="X471" i="19"/>
  <c r="S472" i="19" s="1"/>
  <c r="N482" i="19"/>
  <c r="K483" i="19"/>
  <c r="P483" i="19" s="1"/>
  <c r="M483" i="19"/>
  <c r="L483" i="19"/>
  <c r="N483" i="19" s="1"/>
  <c r="Y470" i="19"/>
  <c r="Y471" i="19" s="1"/>
  <c r="U472" i="19" l="1"/>
  <c r="T472" i="19"/>
  <c r="V472" i="19"/>
  <c r="X472" i="19" s="1"/>
  <c r="S473" i="19" s="1"/>
  <c r="O483" i="19"/>
  <c r="J484" i="19" s="1"/>
  <c r="W471" i="19"/>
  <c r="U473" i="19" l="1"/>
  <c r="V473" i="19"/>
  <c r="T473" i="19"/>
  <c r="X473" i="19"/>
  <c r="S474" i="19" s="1"/>
  <c r="M484" i="19"/>
  <c r="L484" i="19"/>
  <c r="K484" i="19"/>
  <c r="O484" i="19"/>
  <c r="J485" i="19" s="1"/>
  <c r="W472" i="19"/>
  <c r="Y472" i="19"/>
  <c r="W473" i="19" l="1"/>
  <c r="N484" i="19"/>
  <c r="P484" i="19"/>
  <c r="Y473" i="19"/>
  <c r="Y474" i="19" s="1"/>
  <c r="M485" i="19"/>
  <c r="L485" i="19"/>
  <c r="O485" i="19" s="1"/>
  <c r="J486" i="19" s="1"/>
  <c r="K485" i="19"/>
  <c r="N485" i="19" s="1"/>
  <c r="U474" i="19"/>
  <c r="V474" i="19"/>
  <c r="T474" i="19"/>
  <c r="X474" i="19" l="1"/>
  <c r="S475" i="19" s="1"/>
  <c r="K486" i="19"/>
  <c r="M486" i="19"/>
  <c r="L486" i="19"/>
  <c r="O486" i="19" s="1"/>
  <c r="J487" i="19" s="1"/>
  <c r="P485" i="19"/>
  <c r="P486" i="19" s="1"/>
  <c r="T475" i="19"/>
  <c r="Y475" i="19" s="1"/>
  <c r="U475" i="19"/>
  <c r="V475" i="19"/>
  <c r="W474" i="19"/>
  <c r="W475" i="19" l="1"/>
  <c r="L487" i="19"/>
  <c r="K487" i="19"/>
  <c r="M487" i="19"/>
  <c r="O487" i="19"/>
  <c r="J488" i="19" s="1"/>
  <c r="X475" i="19"/>
  <c r="S476" i="19" s="1"/>
  <c r="P487" i="19"/>
  <c r="N486" i="19"/>
  <c r="T476" i="19" l="1"/>
  <c r="U476" i="19"/>
  <c r="V476" i="19"/>
  <c r="M488" i="19"/>
  <c r="L488" i="19"/>
  <c r="O488" i="19" s="1"/>
  <c r="J489" i="19" s="1"/>
  <c r="K488" i="19"/>
  <c r="N487" i="19"/>
  <c r="X476" i="19" l="1"/>
  <c r="S477" i="19" s="1"/>
  <c r="U477" i="19"/>
  <c r="T477" i="19"/>
  <c r="V477" i="19"/>
  <c r="L489" i="19"/>
  <c r="M489" i="19"/>
  <c r="K489" i="19"/>
  <c r="N489" i="19" s="1"/>
  <c r="O489" i="19"/>
  <c r="J490" i="19" s="1"/>
  <c r="P488" i="19"/>
  <c r="N488" i="19"/>
  <c r="W476" i="19"/>
  <c r="Y476" i="19"/>
  <c r="Y477" i="19" s="1"/>
  <c r="P489" i="19" l="1"/>
  <c r="W477" i="19"/>
  <c r="L490" i="19"/>
  <c r="K490" i="19"/>
  <c r="M490" i="19"/>
  <c r="O490" i="19" s="1"/>
  <c r="J491" i="19" s="1"/>
  <c r="X477" i="19"/>
  <c r="S478" i="19" s="1"/>
  <c r="U478" i="19" l="1"/>
  <c r="V478" i="19"/>
  <c r="T478" i="19"/>
  <c r="N490" i="19"/>
  <c r="L491" i="19"/>
  <c r="K491" i="19"/>
  <c r="M491" i="19"/>
  <c r="P490" i="19"/>
  <c r="P491" i="19" s="1"/>
  <c r="N491" i="19" l="1"/>
  <c r="O491" i="19"/>
  <c r="J492" i="19" s="1"/>
  <c r="W478" i="19"/>
  <c r="Y478" i="19"/>
  <c r="X478" i="19"/>
  <c r="S479" i="19" s="1"/>
  <c r="V479" i="19" l="1"/>
  <c r="U479" i="19"/>
  <c r="X479" i="19" s="1"/>
  <c r="S480" i="19" s="1"/>
  <c r="T479" i="19"/>
  <c r="W479" i="19" s="1"/>
  <c r="Y479" i="19"/>
  <c r="M492" i="19"/>
  <c r="K492" i="19"/>
  <c r="L492" i="19"/>
  <c r="O492" i="19" s="1"/>
  <c r="J493" i="19" s="1"/>
  <c r="K493" i="19" l="1"/>
  <c r="L493" i="19"/>
  <c r="M493" i="19"/>
  <c r="N492" i="19"/>
  <c r="P492" i="19"/>
  <c r="P493" i="19" s="1"/>
  <c r="U480" i="19"/>
  <c r="T480" i="19"/>
  <c r="W480" i="19" s="1"/>
  <c r="X480" i="19"/>
  <c r="S481" i="19" s="1"/>
  <c r="V480" i="19"/>
  <c r="T481" i="19" l="1"/>
  <c r="U481" i="19"/>
  <c r="V481" i="19"/>
  <c r="O493" i="19"/>
  <c r="J494" i="19" s="1"/>
  <c r="Y480" i="19"/>
  <c r="Y481" i="19" s="1"/>
  <c r="N493" i="19"/>
  <c r="K494" i="19" l="1"/>
  <c r="L494" i="19"/>
  <c r="M494" i="19"/>
  <c r="X481" i="19"/>
  <c r="S482" i="19" s="1"/>
  <c r="W481" i="19"/>
  <c r="V482" i="19" l="1"/>
  <c r="T482" i="19"/>
  <c r="U482" i="19"/>
  <c r="X482" i="19"/>
  <c r="S483" i="19" s="1"/>
  <c r="N494" i="19"/>
  <c r="P494" i="19"/>
  <c r="O494" i="19"/>
  <c r="J495" i="19" s="1"/>
  <c r="L495" i="19" l="1"/>
  <c r="M495" i="19"/>
  <c r="O495" i="19" s="1"/>
  <c r="J496" i="19" s="1"/>
  <c r="K495" i="19"/>
  <c r="N495" i="19" s="1"/>
  <c r="W482" i="19"/>
  <c r="Y482" i="19"/>
  <c r="V483" i="19"/>
  <c r="T483" i="19"/>
  <c r="W483" i="19" s="1"/>
  <c r="U483" i="19"/>
  <c r="P495" i="19" l="1"/>
  <c r="Y483" i="19"/>
  <c r="L496" i="19"/>
  <c r="K496" i="19"/>
  <c r="M496" i="19"/>
  <c r="P496" i="19"/>
  <c r="X483" i="19"/>
  <c r="S484" i="19" s="1"/>
  <c r="U484" i="19" l="1"/>
  <c r="V484" i="19"/>
  <c r="X484" i="19" s="1"/>
  <c r="S485" i="19" s="1"/>
  <c r="T484" i="19"/>
  <c r="W484" i="19" s="1"/>
  <c r="O496" i="19"/>
  <c r="J497" i="19" s="1"/>
  <c r="N496" i="19"/>
  <c r="Y484" i="19"/>
  <c r="L497" i="19" l="1"/>
  <c r="M497" i="19"/>
  <c r="K497" i="19"/>
  <c r="V485" i="19"/>
  <c r="T485" i="19"/>
  <c r="U485" i="19"/>
  <c r="X485" i="19" l="1"/>
  <c r="S486" i="19" s="1"/>
  <c r="N497" i="19"/>
  <c r="P497" i="19"/>
  <c r="W485" i="19"/>
  <c r="O497" i="19"/>
  <c r="J498" i="19" s="1"/>
  <c r="Y485" i="19"/>
  <c r="L498" i="19" l="1"/>
  <c r="M498" i="19"/>
  <c r="K498" i="19"/>
  <c r="N498" i="19" s="1"/>
  <c r="P498" i="19"/>
  <c r="U486" i="19"/>
  <c r="X486" i="19" s="1"/>
  <c r="S487" i="19" s="1"/>
  <c r="V486" i="19"/>
  <c r="T486" i="19"/>
  <c r="O498" i="19" l="1"/>
  <c r="J499" i="19" s="1"/>
  <c r="U487" i="19"/>
  <c r="T487" i="19"/>
  <c r="V487" i="19"/>
  <c r="X487" i="19" s="1"/>
  <c r="S488" i="19" s="1"/>
  <c r="M499" i="19"/>
  <c r="L499" i="19"/>
  <c r="K499" i="19"/>
  <c r="N499" i="19" s="1"/>
  <c r="W486" i="19"/>
  <c r="Y486" i="19"/>
  <c r="Y487" i="19" s="1"/>
  <c r="P499" i="19" l="1"/>
  <c r="V488" i="19"/>
  <c r="T488" i="19"/>
  <c r="U488" i="19"/>
  <c r="X488" i="19" s="1"/>
  <c r="S489" i="19" s="1"/>
  <c r="W487" i="19"/>
  <c r="O499" i="19"/>
  <c r="J500" i="19" s="1"/>
  <c r="Y488" i="19"/>
  <c r="M500" i="19" l="1"/>
  <c r="L500" i="19"/>
  <c r="O500" i="19"/>
  <c r="J501" i="19" s="1"/>
  <c r="K500" i="19"/>
  <c r="U489" i="19"/>
  <c r="V489" i="19"/>
  <c r="X489" i="19" s="1"/>
  <c r="S490" i="19" s="1"/>
  <c r="T489" i="19"/>
  <c r="W489" i="19" s="1"/>
  <c r="W488" i="19"/>
  <c r="T490" i="19" l="1"/>
  <c r="V490" i="19"/>
  <c r="U490" i="19"/>
  <c r="X490" i="19" s="1"/>
  <c r="S491" i="19" s="1"/>
  <c r="N500" i="19"/>
  <c r="P500" i="19"/>
  <c r="L501" i="19"/>
  <c r="M501" i="19"/>
  <c r="O501" i="19" s="1"/>
  <c r="J502" i="19" s="1"/>
  <c r="K501" i="19"/>
  <c r="Y489" i="19"/>
  <c r="Y490" i="19" s="1"/>
  <c r="P501" i="19" l="1"/>
  <c r="U491" i="19"/>
  <c r="V491" i="19"/>
  <c r="T491" i="19"/>
  <c r="W491" i="19" s="1"/>
  <c r="Y491" i="19"/>
  <c r="M502" i="19"/>
  <c r="K502" i="19"/>
  <c r="L502" i="19"/>
  <c r="O502" i="19" s="1"/>
  <c r="J503" i="19" s="1"/>
  <c r="N501" i="19"/>
  <c r="W490" i="19"/>
  <c r="N502" i="19" l="1"/>
  <c r="M503" i="19"/>
  <c r="L503" i="19"/>
  <c r="O503" i="19" s="1"/>
  <c r="J504" i="19" s="1"/>
  <c r="K503" i="19"/>
  <c r="N503" i="19" s="1"/>
  <c r="P502" i="19"/>
  <c r="X491" i="19"/>
  <c r="S492" i="19" s="1"/>
  <c r="P503" i="19" l="1"/>
  <c r="U492" i="19"/>
  <c r="T492" i="19"/>
  <c r="V492" i="19"/>
  <c r="X492" i="19" s="1"/>
  <c r="S493" i="19" s="1"/>
  <c r="K504" i="19"/>
  <c r="L504" i="19"/>
  <c r="M504" i="19"/>
  <c r="T493" i="19" l="1"/>
  <c r="V493" i="19"/>
  <c r="U493" i="19"/>
  <c r="X493" i="19" s="1"/>
  <c r="S494" i="19" s="1"/>
  <c r="N504" i="19"/>
  <c r="O504" i="19"/>
  <c r="J505" i="19" s="1"/>
  <c r="W492" i="19"/>
  <c r="Y492" i="19"/>
  <c r="Y493" i="19" s="1"/>
  <c r="P504" i="19"/>
  <c r="L505" i="19" l="1"/>
  <c r="K505" i="19"/>
  <c r="M505" i="19"/>
  <c r="O505" i="19" s="1"/>
  <c r="J506" i="19" s="1"/>
  <c r="U494" i="19"/>
  <c r="V494" i="19"/>
  <c r="X494" i="19"/>
  <c r="S495" i="19" s="1"/>
  <c r="T494" i="19"/>
  <c r="Y494" i="19" s="1"/>
  <c r="W493" i="19"/>
  <c r="U495" i="19" l="1"/>
  <c r="T495" i="19"/>
  <c r="V495" i="19"/>
  <c r="X495" i="19"/>
  <c r="S496" i="19" s="1"/>
  <c r="L506" i="19"/>
  <c r="K506" i="19"/>
  <c r="M506" i="19"/>
  <c r="O506" i="19"/>
  <c r="J507" i="19" s="1"/>
  <c r="N505" i="19"/>
  <c r="W494" i="19"/>
  <c r="P505" i="19"/>
  <c r="K507" i="19" l="1"/>
  <c r="M507" i="19"/>
  <c r="L507" i="19"/>
  <c r="N506" i="19"/>
  <c r="P506" i="19"/>
  <c r="P507" i="19" s="1"/>
  <c r="W495" i="19"/>
  <c r="U496" i="19"/>
  <c r="V496" i="19"/>
  <c r="X496" i="19" s="1"/>
  <c r="S497" i="19" s="1"/>
  <c r="T496" i="19"/>
  <c r="Y495" i="19"/>
  <c r="Y496" i="19" s="1"/>
  <c r="U497" i="19" l="1"/>
  <c r="T497" i="19"/>
  <c r="V497" i="19"/>
  <c r="O507" i="19"/>
  <c r="J508" i="19" s="1"/>
  <c r="Y497" i="19"/>
  <c r="W496" i="19"/>
  <c r="N507" i="19"/>
  <c r="X497" i="19" l="1"/>
  <c r="S498" i="19" s="1"/>
  <c r="U498" i="19"/>
  <c r="V498" i="19"/>
  <c r="T498" i="19"/>
  <c r="W498" i="19" s="1"/>
  <c r="L508" i="19"/>
  <c r="M508" i="19"/>
  <c r="K508" i="19"/>
  <c r="W497" i="19"/>
  <c r="O508" i="19" l="1"/>
  <c r="J509" i="19" s="1"/>
  <c r="M509" i="19" s="1"/>
  <c r="Y498" i="19"/>
  <c r="L509" i="19"/>
  <c r="K509" i="19"/>
  <c r="N508" i="19"/>
  <c r="P508" i="19"/>
  <c r="X498" i="19"/>
  <c r="S499" i="19" s="1"/>
  <c r="O509" i="19" l="1"/>
  <c r="J510" i="19" s="1"/>
  <c r="U499" i="19"/>
  <c r="T499" i="19"/>
  <c r="V499" i="19"/>
  <c r="X499" i="19" s="1"/>
  <c r="S500" i="19" s="1"/>
  <c r="L510" i="19"/>
  <c r="M510" i="19"/>
  <c r="O510" i="19" s="1"/>
  <c r="J511" i="19" s="1"/>
  <c r="K510" i="19"/>
  <c r="N510" i="19" s="1"/>
  <c r="P509" i="19"/>
  <c r="P510" i="19" s="1"/>
  <c r="N509" i="19"/>
  <c r="M511" i="19" l="1"/>
  <c r="K511" i="19"/>
  <c r="L511" i="19"/>
  <c r="O511" i="19" s="1"/>
  <c r="J512" i="19" s="1"/>
  <c r="W499" i="19"/>
  <c r="Y499" i="19"/>
  <c r="T500" i="19"/>
  <c r="V500" i="19"/>
  <c r="X500" i="19" s="1"/>
  <c r="S501" i="19" s="1"/>
  <c r="U500" i="19"/>
  <c r="U501" i="19" l="1"/>
  <c r="V501" i="19"/>
  <c r="T501" i="19"/>
  <c r="W501" i="19" s="1"/>
  <c r="Y500" i="19"/>
  <c r="Y501" i="19" s="1"/>
  <c r="K512" i="19"/>
  <c r="L512" i="19"/>
  <c r="M512" i="19"/>
  <c r="O512" i="19" s="1"/>
  <c r="J513" i="19" s="1"/>
  <c r="W500" i="19"/>
  <c r="N511" i="19"/>
  <c r="P511" i="19"/>
  <c r="N512" i="19" l="1"/>
  <c r="P512" i="19"/>
  <c r="L513" i="19"/>
  <c r="K513" i="19"/>
  <c r="M513" i="19"/>
  <c r="O513" i="19"/>
  <c r="J514" i="19" s="1"/>
  <c r="X501" i="19"/>
  <c r="S502" i="19" s="1"/>
  <c r="U502" i="19" l="1"/>
  <c r="V502" i="19"/>
  <c r="X502" i="19" s="1"/>
  <c r="S503" i="19" s="1"/>
  <c r="T502" i="19"/>
  <c r="L514" i="19"/>
  <c r="K514" i="19"/>
  <c r="M514" i="19"/>
  <c r="O514" i="19"/>
  <c r="J515" i="19" s="1"/>
  <c r="N513" i="19"/>
  <c r="P513" i="19"/>
  <c r="T503" i="19" l="1"/>
  <c r="U503" i="19"/>
  <c r="V503" i="19"/>
  <c r="X503" i="19" s="1"/>
  <c r="S504" i="19" s="1"/>
  <c r="L515" i="19"/>
  <c r="K515" i="19"/>
  <c r="M515" i="19"/>
  <c r="O515" i="19" s="1"/>
  <c r="J516" i="19" s="1"/>
  <c r="N514" i="19"/>
  <c r="W502" i="19"/>
  <c r="Y502" i="19"/>
  <c r="Y503" i="19" s="1"/>
  <c r="P514" i="19"/>
  <c r="L516" i="19" l="1"/>
  <c r="K516" i="19"/>
  <c r="M516" i="19"/>
  <c r="V504" i="19"/>
  <c r="T504" i="19"/>
  <c r="U504" i="19"/>
  <c r="X504" i="19" s="1"/>
  <c r="S505" i="19" s="1"/>
  <c r="N515" i="19"/>
  <c r="P515" i="19"/>
  <c r="P516" i="19" s="1"/>
  <c r="W503" i="19"/>
  <c r="V505" i="19" l="1"/>
  <c r="T505" i="19"/>
  <c r="U505" i="19"/>
  <c r="X505" i="19"/>
  <c r="S506" i="19" s="1"/>
  <c r="W504" i="19"/>
  <c r="N516" i="19"/>
  <c r="Y504" i="19"/>
  <c r="Y505" i="19" s="1"/>
  <c r="O516" i="19"/>
  <c r="J517" i="19" s="1"/>
  <c r="U506" i="19" l="1"/>
  <c r="T506" i="19"/>
  <c r="V506" i="19"/>
  <c r="W505" i="19"/>
  <c r="M517" i="19"/>
  <c r="K517" i="19"/>
  <c r="L517" i="19"/>
  <c r="O517" i="19" s="1"/>
  <c r="J518" i="19" s="1"/>
  <c r="N517" i="19" l="1"/>
  <c r="P517" i="19"/>
  <c r="X506" i="19"/>
  <c r="S507" i="19" s="1"/>
  <c r="L518" i="19"/>
  <c r="K518" i="19"/>
  <c r="M518" i="19"/>
  <c r="W506" i="19"/>
  <c r="Y506" i="19"/>
  <c r="O518" i="19" l="1"/>
  <c r="J519" i="19" s="1"/>
  <c r="P518" i="19"/>
  <c r="N518" i="19"/>
  <c r="V507" i="19"/>
  <c r="T507" i="19"/>
  <c r="W507" i="19" s="1"/>
  <c r="U507" i="19"/>
  <c r="X507" i="19" s="1"/>
  <c r="S508" i="19" s="1"/>
  <c r="V508" i="19" l="1"/>
  <c r="T508" i="19"/>
  <c r="U508" i="19"/>
  <c r="X508" i="19" s="1"/>
  <c r="S509" i="19" s="1"/>
  <c r="Y507" i="19"/>
  <c r="Y508" i="19" s="1"/>
  <c r="L519" i="19"/>
  <c r="M519" i="19"/>
  <c r="K519" i="19"/>
  <c r="P519" i="19" s="1"/>
  <c r="O519" i="19" l="1"/>
  <c r="J520" i="19" s="1"/>
  <c r="L520" i="19" s="1"/>
  <c r="T509" i="19"/>
  <c r="U509" i="19"/>
  <c r="V509" i="19"/>
  <c r="X509" i="19" s="1"/>
  <c r="S510" i="19" s="1"/>
  <c r="Y509" i="19"/>
  <c r="W508" i="19"/>
  <c r="N519" i="19"/>
  <c r="K520" i="19" l="1"/>
  <c r="M520" i="19"/>
  <c r="O520" i="19"/>
  <c r="J521" i="19" s="1"/>
  <c r="M521" i="19" s="1"/>
  <c r="N520" i="19"/>
  <c r="V510" i="19"/>
  <c r="T510" i="19"/>
  <c r="U510" i="19"/>
  <c r="X510" i="19" s="1"/>
  <c r="S511" i="19" s="1"/>
  <c r="W509" i="19"/>
  <c r="P520" i="19"/>
  <c r="K521" i="19" l="1"/>
  <c r="L521" i="19"/>
  <c r="O521" i="19"/>
  <c r="J522" i="19" s="1"/>
  <c r="M522" i="19" s="1"/>
  <c r="U511" i="19"/>
  <c r="V511" i="19"/>
  <c r="T511" i="19"/>
  <c r="W511" i="19" s="1"/>
  <c r="N521" i="19"/>
  <c r="W510" i="19"/>
  <c r="P521" i="19"/>
  <c r="Y510" i="19"/>
  <c r="L522" i="19" l="1"/>
  <c r="K522" i="19"/>
  <c r="N522" i="19" s="1"/>
  <c r="O522" i="19"/>
  <c r="J523" i="19" s="1"/>
  <c r="Y511" i="19"/>
  <c r="P522" i="19"/>
  <c r="X511" i="19"/>
  <c r="S512" i="19" s="1"/>
  <c r="U512" i="19" l="1"/>
  <c r="V512" i="19"/>
  <c r="X512" i="19" s="1"/>
  <c r="S513" i="19" s="1"/>
  <c r="T512" i="19"/>
  <c r="W512" i="19" s="1"/>
  <c r="K523" i="19"/>
  <c r="M523" i="19"/>
  <c r="L523" i="19"/>
  <c r="N523" i="19" l="1"/>
  <c r="P523" i="19"/>
  <c r="O523" i="19"/>
  <c r="J524" i="19" s="1"/>
  <c r="V513" i="19"/>
  <c r="T513" i="19"/>
  <c r="U513" i="19"/>
  <c r="X513" i="19" s="1"/>
  <c r="S514" i="19" s="1"/>
  <c r="Y512" i="19"/>
  <c r="Y513" i="19" s="1"/>
  <c r="W513" i="19" l="1"/>
  <c r="V514" i="19"/>
  <c r="T514" i="19"/>
  <c r="U514" i="19"/>
  <c r="X514" i="19" s="1"/>
  <c r="S515" i="19" s="1"/>
  <c r="K524" i="19"/>
  <c r="P524" i="19" s="1"/>
  <c r="M524" i="19"/>
  <c r="L524" i="19"/>
  <c r="O524" i="19" s="1"/>
  <c r="J525" i="19" s="1"/>
  <c r="T515" i="19" l="1"/>
  <c r="U515" i="19"/>
  <c r="V515" i="19"/>
  <c r="M525" i="19"/>
  <c r="K525" i="19"/>
  <c r="L525" i="19"/>
  <c r="O525" i="19" s="1"/>
  <c r="J526" i="19" s="1"/>
  <c r="N524" i="19"/>
  <c r="W514" i="19"/>
  <c r="Y514" i="19"/>
  <c r="Y515" i="19" s="1"/>
  <c r="M526" i="19" l="1"/>
  <c r="L526" i="19"/>
  <c r="O526" i="19" s="1"/>
  <c r="J527" i="19" s="1"/>
  <c r="K526" i="19"/>
  <c r="N525" i="19"/>
  <c r="W515" i="19"/>
  <c r="X515" i="19"/>
  <c r="S516" i="19" s="1"/>
  <c r="P525" i="19"/>
  <c r="P526" i="19" s="1"/>
  <c r="N526" i="19" l="1"/>
  <c r="U516" i="19"/>
  <c r="T516" i="19"/>
  <c r="V516" i="19"/>
  <c r="X516" i="19"/>
  <c r="S517" i="19" s="1"/>
  <c r="L527" i="19"/>
  <c r="M527" i="19"/>
  <c r="O527" i="19" s="1"/>
  <c r="J528" i="19" s="1"/>
  <c r="K527" i="19"/>
  <c r="N527" i="19" s="1"/>
  <c r="U517" i="19" l="1"/>
  <c r="V517" i="19"/>
  <c r="X517" i="19" s="1"/>
  <c r="S518" i="19" s="1"/>
  <c r="T517" i="19"/>
  <c r="W517" i="19" s="1"/>
  <c r="K528" i="19"/>
  <c r="L528" i="19"/>
  <c r="M528" i="19"/>
  <c r="W516" i="19"/>
  <c r="Y516" i="19"/>
  <c r="Y517" i="19" s="1"/>
  <c r="P527" i="19"/>
  <c r="O528" i="19" l="1"/>
  <c r="J529" i="19" s="1"/>
  <c r="M529" i="19"/>
  <c r="K529" i="19"/>
  <c r="L529" i="19"/>
  <c r="N528" i="19"/>
  <c r="U518" i="19"/>
  <c r="X518" i="19" s="1"/>
  <c r="S519" i="19" s="1"/>
  <c r="T518" i="19"/>
  <c r="W518" i="19" s="1"/>
  <c r="V518" i="19"/>
  <c r="P528" i="19"/>
  <c r="P529" i="19" l="1"/>
  <c r="T519" i="19"/>
  <c r="V519" i="19"/>
  <c r="U519" i="19"/>
  <c r="X519" i="19" s="1"/>
  <c r="S520" i="19" s="1"/>
  <c r="N529" i="19"/>
  <c r="Y518" i="19"/>
  <c r="Y519" i="19" s="1"/>
  <c r="O529" i="19"/>
  <c r="J530" i="19" s="1"/>
  <c r="K530" i="19" l="1"/>
  <c r="M530" i="19"/>
  <c r="L530" i="19"/>
  <c r="V520" i="19"/>
  <c r="U520" i="19"/>
  <c r="T520" i="19"/>
  <c r="W520" i="19" s="1"/>
  <c r="X520" i="19"/>
  <c r="S521" i="19" s="1"/>
  <c r="Y520" i="19"/>
  <c r="W519" i="19"/>
  <c r="T521" i="19" l="1"/>
  <c r="U521" i="19"/>
  <c r="V521" i="19"/>
  <c r="X521" i="19"/>
  <c r="S522" i="19" s="1"/>
  <c r="O530" i="19"/>
  <c r="J531" i="19" s="1"/>
  <c r="N530" i="19"/>
  <c r="P530" i="19"/>
  <c r="L531" i="19" l="1"/>
  <c r="M531" i="19"/>
  <c r="K531" i="19"/>
  <c r="N531" i="19" s="1"/>
  <c r="O531" i="19"/>
  <c r="J532" i="19" s="1"/>
  <c r="P531" i="19"/>
  <c r="V522" i="19"/>
  <c r="U522" i="19"/>
  <c r="X522" i="19" s="1"/>
  <c r="S523" i="19" s="1"/>
  <c r="T522" i="19"/>
  <c r="W521" i="19"/>
  <c r="Y521" i="19"/>
  <c r="U523" i="19" l="1"/>
  <c r="T523" i="19"/>
  <c r="V523" i="19"/>
  <c r="X523" i="19"/>
  <c r="S524" i="19" s="1"/>
  <c r="Y522" i="19"/>
  <c r="Y523" i="19" s="1"/>
  <c r="W522" i="19"/>
  <c r="M532" i="19"/>
  <c r="K532" i="19"/>
  <c r="L532" i="19"/>
  <c r="P532" i="19" l="1"/>
  <c r="N532" i="19"/>
  <c r="T524" i="19"/>
  <c r="V524" i="19"/>
  <c r="U524" i="19"/>
  <c r="X524" i="19" s="1"/>
  <c r="S525" i="19" s="1"/>
  <c r="Y524" i="19"/>
  <c r="W523" i="19"/>
  <c r="O532" i="19"/>
  <c r="J533" i="19" s="1"/>
  <c r="V525" i="19" l="1"/>
  <c r="T525" i="19"/>
  <c r="U525" i="19"/>
  <c r="X525" i="19" s="1"/>
  <c r="S526" i="19" s="1"/>
  <c r="K533" i="19"/>
  <c r="M533" i="19"/>
  <c r="L533" i="19"/>
  <c r="O533" i="19" s="1"/>
  <c r="J534" i="19" s="1"/>
  <c r="Y525" i="19"/>
  <c r="W524" i="19"/>
  <c r="L534" i="19" l="1"/>
  <c r="M534" i="19"/>
  <c r="K534" i="19"/>
  <c r="N534" i="19" s="1"/>
  <c r="O534" i="19"/>
  <c r="J535" i="19" s="1"/>
  <c r="N533" i="19"/>
  <c r="W525" i="19"/>
  <c r="U526" i="19"/>
  <c r="V526" i="19"/>
  <c r="T526" i="19"/>
  <c r="P533" i="19"/>
  <c r="X526" i="19" l="1"/>
  <c r="S527" i="19" s="1"/>
  <c r="T527" i="19" s="1"/>
  <c r="V527" i="19"/>
  <c r="K535" i="19"/>
  <c r="L535" i="19"/>
  <c r="M535" i="19"/>
  <c r="P534" i="19"/>
  <c r="W526" i="19"/>
  <c r="Y526" i="19"/>
  <c r="Y527" i="19" l="1"/>
  <c r="U527" i="19"/>
  <c r="X527" i="19" s="1"/>
  <c r="S528" i="19" s="1"/>
  <c r="O535" i="19"/>
  <c r="J536" i="19" s="1"/>
  <c r="M536" i="19" s="1"/>
  <c r="P535" i="19"/>
  <c r="K536" i="19"/>
  <c r="N535" i="19"/>
  <c r="U528" i="19"/>
  <c r="T528" i="19"/>
  <c r="Y528" i="19" s="1"/>
  <c r="V528" i="19"/>
  <c r="W527" i="19"/>
  <c r="L536" i="19" l="1"/>
  <c r="O536" i="19"/>
  <c r="J537" i="19" s="1"/>
  <c r="K537" i="19" s="1"/>
  <c r="N536" i="19"/>
  <c r="P536" i="19"/>
  <c r="X528" i="19"/>
  <c r="S529" i="19" s="1"/>
  <c r="T529" i="19"/>
  <c r="U529" i="19"/>
  <c r="V529" i="19"/>
  <c r="Y529" i="19"/>
  <c r="L537" i="19"/>
  <c r="W528" i="19"/>
  <c r="M537" i="19" l="1"/>
  <c r="N537" i="19"/>
  <c r="O537" i="19"/>
  <c r="J538" i="19" s="1"/>
  <c r="L538" i="19" s="1"/>
  <c r="X529" i="19"/>
  <c r="S530" i="19" s="1"/>
  <c r="P537" i="19"/>
  <c r="W529" i="19"/>
  <c r="M538" i="19" l="1"/>
  <c r="K538" i="19"/>
  <c r="P538" i="19"/>
  <c r="O538" i="19"/>
  <c r="J539" i="19" s="1"/>
  <c r="K539" i="19" s="1"/>
  <c r="P539" i="19" s="1"/>
  <c r="M539" i="19"/>
  <c r="N538" i="19"/>
  <c r="T530" i="19"/>
  <c r="U530" i="19"/>
  <c r="V530" i="19"/>
  <c r="L539" i="19" l="1"/>
  <c r="O539" i="19" s="1"/>
  <c r="J540" i="19" s="1"/>
  <c r="X530" i="19"/>
  <c r="S531" i="19" s="1"/>
  <c r="V531" i="19" s="1"/>
  <c r="X531" i="19" s="1"/>
  <c r="S532" i="19" s="1"/>
  <c r="U531" i="19"/>
  <c r="T531" i="19"/>
  <c r="W530" i="19"/>
  <c r="Y530" i="19"/>
  <c r="N539" i="19"/>
  <c r="L540" i="19" l="1"/>
  <c r="K540" i="19"/>
  <c r="P540" i="19" s="1"/>
  <c r="M540" i="19"/>
  <c r="N540" i="19"/>
  <c r="W531" i="19"/>
  <c r="U532" i="19"/>
  <c r="V532" i="19"/>
  <c r="X532" i="19" s="1"/>
  <c r="S533" i="19" s="1"/>
  <c r="T532" i="19"/>
  <c r="W532" i="19" s="1"/>
  <c r="Y531" i="19"/>
  <c r="O540" i="19" l="1"/>
  <c r="J541" i="19" s="1"/>
  <c r="Y532" i="19"/>
  <c r="T533" i="19"/>
  <c r="V533" i="19"/>
  <c r="U533" i="19"/>
  <c r="X533" i="19"/>
  <c r="S534" i="19" s="1"/>
  <c r="Y533" i="19"/>
  <c r="K541" i="19" l="1"/>
  <c r="M541" i="19"/>
  <c r="L541" i="19"/>
  <c r="O541" i="19" s="1"/>
  <c r="J542" i="19" s="1"/>
  <c r="T534" i="19"/>
  <c r="U534" i="19"/>
  <c r="V534" i="19"/>
  <c r="X534" i="19"/>
  <c r="S535" i="19" s="1"/>
  <c r="Y534" i="19"/>
  <c r="W533" i="19"/>
  <c r="K542" i="19" l="1"/>
  <c r="L542" i="19"/>
  <c r="M542" i="19"/>
  <c r="O542" i="19"/>
  <c r="J543" i="19" s="1"/>
  <c r="M543" i="19" s="1"/>
  <c r="P541" i="19"/>
  <c r="N541" i="19"/>
  <c r="K543" i="19"/>
  <c r="T535" i="19"/>
  <c r="U535" i="19"/>
  <c r="V535" i="19"/>
  <c r="X535" i="19"/>
  <c r="S536" i="19" s="1"/>
  <c r="W534" i="19"/>
  <c r="L543" i="19" l="1"/>
  <c r="O543" i="19" s="1"/>
  <c r="J544" i="19" s="1"/>
  <c r="P542" i="19"/>
  <c r="N542" i="19"/>
  <c r="W535" i="19"/>
  <c r="Y535" i="19"/>
  <c r="Y536" i="19" s="1"/>
  <c r="N543" i="19"/>
  <c r="P543" i="19"/>
  <c r="U536" i="19"/>
  <c r="V536" i="19"/>
  <c r="T536" i="19"/>
  <c r="W536" i="19" s="1"/>
  <c r="M544" i="19" l="1"/>
  <c r="L544" i="19"/>
  <c r="K544" i="19"/>
  <c r="P544" i="19"/>
  <c r="N544" i="19"/>
  <c r="X536" i="19"/>
  <c r="S537" i="19" s="1"/>
  <c r="U537" i="19"/>
  <c r="T537" i="19"/>
  <c r="V537" i="19"/>
  <c r="O544" i="19" l="1"/>
  <c r="J545" i="19" s="1"/>
  <c r="W537" i="19"/>
  <c r="X537" i="19"/>
  <c r="S538" i="19" s="1"/>
  <c r="X538" i="19" s="1"/>
  <c r="S539" i="19" s="1"/>
  <c r="V538" i="19"/>
  <c r="U538" i="19"/>
  <c r="T538" i="19"/>
  <c r="W538" i="19" s="1"/>
  <c r="Y537" i="19"/>
  <c r="L545" i="19" l="1"/>
  <c r="O545" i="19" s="1"/>
  <c r="J546" i="19" s="1"/>
  <c r="M545" i="19"/>
  <c r="K545" i="19"/>
  <c r="V539" i="19"/>
  <c r="T539" i="19"/>
  <c r="U539" i="19"/>
  <c r="Y538" i="19"/>
  <c r="Y539" i="19" s="1"/>
  <c r="L546" i="19" l="1"/>
  <c r="K546" i="19"/>
  <c r="M546" i="19"/>
  <c r="P545" i="19"/>
  <c r="P546" i="19" s="1"/>
  <c r="N545" i="19"/>
  <c r="W539" i="19"/>
  <c r="X539" i="19"/>
  <c r="S540" i="19" s="1"/>
  <c r="N546" i="19" l="1"/>
  <c r="O546" i="19"/>
  <c r="J547" i="19" s="1"/>
  <c r="U540" i="19"/>
  <c r="V540" i="19"/>
  <c r="T540" i="19"/>
  <c r="X540" i="19"/>
  <c r="S541" i="19" s="1"/>
  <c r="K547" i="19" l="1"/>
  <c r="M547" i="19"/>
  <c r="L547" i="19"/>
  <c r="T541" i="19"/>
  <c r="V541" i="19"/>
  <c r="X541" i="19"/>
  <c r="S542" i="19" s="1"/>
  <c r="U541" i="19"/>
  <c r="W540" i="19"/>
  <c r="Y540" i="19"/>
  <c r="O547" i="19" l="1"/>
  <c r="J548" i="19" s="1"/>
  <c r="N547" i="19"/>
  <c r="P547" i="19"/>
  <c r="W541" i="19"/>
  <c r="U542" i="19"/>
  <c r="V542" i="19"/>
  <c r="T542" i="19"/>
  <c r="W542" i="19" s="1"/>
  <c r="Y541" i="19"/>
  <c r="M548" i="19" l="1"/>
  <c r="K548" i="19"/>
  <c r="L548" i="19"/>
  <c r="X542" i="19"/>
  <c r="S543" i="19" s="1"/>
  <c r="Y542" i="19"/>
  <c r="O548" i="19" l="1"/>
  <c r="J549" i="19" s="1"/>
  <c r="N548" i="19"/>
  <c r="P548" i="19"/>
  <c r="U543" i="19"/>
  <c r="T543" i="19"/>
  <c r="V543" i="19"/>
  <c r="L549" i="19" l="1"/>
  <c r="K549" i="19"/>
  <c r="M549" i="19"/>
  <c r="X543" i="19"/>
  <c r="S544" i="19" s="1"/>
  <c r="Y543" i="19"/>
  <c r="W543" i="19"/>
  <c r="N549" i="19" l="1"/>
  <c r="O549" i="19"/>
  <c r="J550" i="19" s="1"/>
  <c r="P549" i="19"/>
  <c r="T544" i="19"/>
  <c r="U544" i="19"/>
  <c r="V544" i="19"/>
  <c r="K550" i="19" l="1"/>
  <c r="M550" i="19"/>
  <c r="L550" i="19"/>
  <c r="O550" i="19"/>
  <c r="J551" i="19" s="1"/>
  <c r="P550" i="19"/>
  <c r="W544" i="19"/>
  <c r="Y544" i="19"/>
  <c r="X544" i="19"/>
  <c r="S545" i="19" s="1"/>
  <c r="L551" i="19" l="1"/>
  <c r="M551" i="19"/>
  <c r="K551" i="19"/>
  <c r="N551" i="19" s="1"/>
  <c r="N550" i="19"/>
  <c r="U545" i="19"/>
  <c r="V545" i="19"/>
  <c r="T545" i="19"/>
  <c r="W545" i="19" s="1"/>
  <c r="X545" i="19"/>
  <c r="S546" i="19" s="1"/>
  <c r="O551" i="19" l="1"/>
  <c r="J552" i="19" s="1"/>
  <c r="P551" i="19"/>
  <c r="Y545" i="19"/>
  <c r="V546" i="19"/>
  <c r="T546" i="19"/>
  <c r="W546" i="19" s="1"/>
  <c r="U546" i="19"/>
  <c r="M552" i="19" l="1"/>
  <c r="K552" i="19"/>
  <c r="L552" i="19"/>
  <c r="Y546" i="19"/>
  <c r="X546" i="19"/>
  <c r="S547" i="19" s="1"/>
  <c r="N552" i="19" l="1"/>
  <c r="O552" i="19"/>
  <c r="J553" i="19" s="1"/>
  <c r="P552" i="19"/>
  <c r="T547" i="19"/>
  <c r="U547" i="19"/>
  <c r="V547" i="19"/>
  <c r="X547" i="19"/>
  <c r="S548" i="19" s="1"/>
  <c r="K553" i="19" l="1"/>
  <c r="L553" i="19"/>
  <c r="M553" i="19"/>
  <c r="Y547" i="19"/>
  <c r="W547" i="19"/>
  <c r="T548" i="19"/>
  <c r="V548" i="19"/>
  <c r="X548" i="19" s="1"/>
  <c r="S549" i="19" s="1"/>
  <c r="U548" i="19"/>
  <c r="O553" i="19" l="1"/>
  <c r="J554" i="19" s="1"/>
  <c r="N553" i="19"/>
  <c r="P553" i="19"/>
  <c r="U549" i="19"/>
  <c r="V549" i="19"/>
  <c r="T549" i="19"/>
  <c r="W549" i="19" s="1"/>
  <c r="Y548" i="19"/>
  <c r="Y549" i="19" s="1"/>
  <c r="W548" i="19"/>
  <c r="L554" i="19" l="1"/>
  <c r="M554" i="19"/>
  <c r="K554" i="19"/>
  <c r="N554" i="19" s="1"/>
  <c r="O554" i="19"/>
  <c r="J555" i="19" s="1"/>
  <c r="X549" i="19"/>
  <c r="S550" i="19" s="1"/>
  <c r="L555" i="19" l="1"/>
  <c r="M555" i="19"/>
  <c r="K555" i="19"/>
  <c r="N555" i="19" s="1"/>
  <c r="O555" i="19"/>
  <c r="J556" i="19" s="1"/>
  <c r="P554" i="19"/>
  <c r="P555" i="19" s="1"/>
  <c r="U550" i="19"/>
  <c r="T550" i="19"/>
  <c r="V550" i="19"/>
  <c r="X550" i="19"/>
  <c r="S551" i="19" s="1"/>
  <c r="L556" i="19" l="1"/>
  <c r="K556" i="19"/>
  <c r="M556" i="19"/>
  <c r="O556" i="19" s="1"/>
  <c r="J557" i="19" s="1"/>
  <c r="W550" i="19"/>
  <c r="Y550" i="19"/>
  <c r="Y551" i="19" s="1"/>
  <c r="U551" i="19"/>
  <c r="X551" i="19" s="1"/>
  <c r="S552" i="19" s="1"/>
  <c r="T551" i="19"/>
  <c r="V551" i="19"/>
  <c r="M557" i="19" l="1"/>
  <c r="L557" i="19"/>
  <c r="O557" i="19"/>
  <c r="J558" i="19" s="1"/>
  <c r="K557" i="19"/>
  <c r="N557" i="19" s="1"/>
  <c r="N556" i="19"/>
  <c r="P556" i="19"/>
  <c r="P557" i="19" s="1"/>
  <c r="V552" i="19"/>
  <c r="U552" i="19"/>
  <c r="T552" i="19"/>
  <c r="W552" i="19" s="1"/>
  <c r="X552" i="19"/>
  <c r="S553" i="19" s="1"/>
  <c r="W551" i="19"/>
  <c r="M558" i="19" l="1"/>
  <c r="L558" i="19"/>
  <c r="O558" i="19" s="1"/>
  <c r="J559" i="19" s="1"/>
  <c r="K558" i="19"/>
  <c r="N558" i="19" s="1"/>
  <c r="U553" i="19"/>
  <c r="V553" i="19"/>
  <c r="T553" i="19"/>
  <c r="W553" i="19" s="1"/>
  <c r="Y552" i="19"/>
  <c r="K559" i="19" l="1"/>
  <c r="M559" i="19"/>
  <c r="L559" i="19"/>
  <c r="O559" i="19" s="1"/>
  <c r="J560" i="19" s="1"/>
  <c r="P558" i="19"/>
  <c r="Y553" i="19"/>
  <c r="X553" i="19"/>
  <c r="S554" i="19" s="1"/>
  <c r="L560" i="19" l="1"/>
  <c r="K560" i="19"/>
  <c r="M560" i="19"/>
  <c r="O560" i="19" s="1"/>
  <c r="J561" i="19" s="1"/>
  <c r="P559" i="19"/>
  <c r="P560" i="19" s="1"/>
  <c r="N559" i="19"/>
  <c r="U554" i="19"/>
  <c r="T554" i="19"/>
  <c r="V554" i="19"/>
  <c r="X554" i="19" s="1"/>
  <c r="S555" i="19" s="1"/>
  <c r="Y554" i="19"/>
  <c r="K561" i="19" l="1"/>
  <c r="L561" i="19"/>
  <c r="M561" i="19"/>
  <c r="O561" i="19"/>
  <c r="J562" i="19" s="1"/>
  <c r="P561" i="19"/>
  <c r="N560" i="19"/>
  <c r="W554" i="19"/>
  <c r="U555" i="19"/>
  <c r="T555" i="19"/>
  <c r="V555" i="19"/>
  <c r="M562" i="19" l="1"/>
  <c r="K562" i="19"/>
  <c r="L562" i="19"/>
  <c r="O562" i="19" s="1"/>
  <c r="J563" i="19" s="1"/>
  <c r="P562" i="19"/>
  <c r="N561" i="19"/>
  <c r="X555" i="19"/>
  <c r="S556" i="19" s="1"/>
  <c r="T556" i="19"/>
  <c r="V556" i="19"/>
  <c r="U556" i="19"/>
  <c r="X556" i="19" s="1"/>
  <c r="S557" i="19" s="1"/>
  <c r="W555" i="19"/>
  <c r="Y555" i="19"/>
  <c r="Y556" i="19" s="1"/>
  <c r="K563" i="19" l="1"/>
  <c r="M563" i="19"/>
  <c r="L563" i="19"/>
  <c r="P563" i="19"/>
  <c r="N562" i="19"/>
  <c r="V557" i="19"/>
  <c r="U557" i="19"/>
  <c r="X557" i="19" s="1"/>
  <c r="S558" i="19" s="1"/>
  <c r="T557" i="19"/>
  <c r="W557" i="19" s="1"/>
  <c r="W556" i="19"/>
  <c r="O563" i="19" l="1"/>
  <c r="J564" i="19" s="1"/>
  <c r="N563" i="19"/>
  <c r="U558" i="19"/>
  <c r="V558" i="19"/>
  <c r="T558" i="19"/>
  <c r="W558" i="19" s="1"/>
  <c r="X558" i="19"/>
  <c r="S559" i="19" s="1"/>
  <c r="Y557" i="19"/>
  <c r="K564" i="19" l="1"/>
  <c r="L564" i="19"/>
  <c r="M564" i="19"/>
  <c r="O564" i="19" s="1"/>
  <c r="J565" i="19" s="1"/>
  <c r="U559" i="19"/>
  <c r="V559" i="19"/>
  <c r="T559" i="19"/>
  <c r="W559" i="19" s="1"/>
  <c r="X559" i="19"/>
  <c r="S560" i="19" s="1"/>
  <c r="Y558" i="19"/>
  <c r="Y559" i="19" s="1"/>
  <c r="K565" i="19" l="1"/>
  <c r="M565" i="19"/>
  <c r="L565" i="19"/>
  <c r="O565" i="19" s="1"/>
  <c r="J566" i="19" s="1"/>
  <c r="N564" i="19"/>
  <c r="P564" i="19"/>
  <c r="P565" i="19" s="1"/>
  <c r="U560" i="19"/>
  <c r="V560" i="19"/>
  <c r="T560" i="19"/>
  <c r="W560" i="19" s="1"/>
  <c r="K566" i="19" l="1"/>
  <c r="L566" i="19"/>
  <c r="M566" i="19"/>
  <c r="O566" i="19" s="1"/>
  <c r="J567" i="19" s="1"/>
  <c r="N565" i="19"/>
  <c r="X560" i="19"/>
  <c r="S561" i="19" s="1"/>
  <c r="T561" i="19" s="1"/>
  <c r="V561" i="19"/>
  <c r="Y560" i="19"/>
  <c r="L567" i="19" l="1"/>
  <c r="K567" i="19"/>
  <c r="M567" i="19"/>
  <c r="O567" i="19"/>
  <c r="J568" i="19" s="1"/>
  <c r="N566" i="19"/>
  <c r="P566" i="19"/>
  <c r="P567" i="19" s="1"/>
  <c r="U561" i="19"/>
  <c r="Y561" i="19"/>
  <c r="X561" i="19"/>
  <c r="S562" i="19" s="1"/>
  <c r="W561" i="19"/>
  <c r="N567" i="19" l="1"/>
  <c r="K568" i="19"/>
  <c r="L568" i="19"/>
  <c r="O568" i="19" s="1"/>
  <c r="J569" i="19" s="1"/>
  <c r="M568" i="19"/>
  <c r="V562" i="19"/>
  <c r="U562" i="19"/>
  <c r="T562" i="19"/>
  <c r="L569" i="19" l="1"/>
  <c r="M569" i="19"/>
  <c r="O569" i="19" s="1"/>
  <c r="J570" i="19" s="1"/>
  <c r="K569" i="19"/>
  <c r="N569" i="19" s="1"/>
  <c r="N568" i="19"/>
  <c r="P568" i="19"/>
  <c r="P569" i="19" s="1"/>
  <c r="X562" i="19"/>
  <c r="S563" i="19" s="1"/>
  <c r="W562" i="19"/>
  <c r="Y562" i="19"/>
  <c r="K570" i="19" l="1"/>
  <c r="M570" i="19"/>
  <c r="L570" i="19"/>
  <c r="O570" i="19" s="1"/>
  <c r="J571" i="19" s="1"/>
  <c r="T563" i="19"/>
  <c r="U563" i="19"/>
  <c r="V563" i="19"/>
  <c r="N570" i="19" l="1"/>
  <c r="L571" i="19"/>
  <c r="M571" i="19"/>
  <c r="K571" i="19"/>
  <c r="N571" i="19" s="1"/>
  <c r="O571" i="19"/>
  <c r="J572" i="19" s="1"/>
  <c r="P570" i="19"/>
  <c r="P571" i="19" s="1"/>
  <c r="W563" i="19"/>
  <c r="X563" i="19"/>
  <c r="S564" i="19" s="1"/>
  <c r="Y563" i="19"/>
  <c r="T564" i="19"/>
  <c r="U564" i="19"/>
  <c r="V564" i="19"/>
  <c r="L572" i="19" l="1"/>
  <c r="O572" i="19" s="1"/>
  <c r="J573" i="19" s="1"/>
  <c r="K572" i="19"/>
  <c r="M572" i="19"/>
  <c r="X564" i="19"/>
  <c r="S565" i="19" s="1"/>
  <c r="W564" i="19"/>
  <c r="Y564" i="19"/>
  <c r="M573" i="19" l="1"/>
  <c r="K573" i="19"/>
  <c r="L573" i="19"/>
  <c r="O573" i="19" s="1"/>
  <c r="J574" i="19" s="1"/>
  <c r="N572" i="19"/>
  <c r="P572" i="19"/>
  <c r="P573" i="19" s="1"/>
  <c r="T565" i="19"/>
  <c r="V565" i="19"/>
  <c r="U565" i="19"/>
  <c r="X565" i="19" s="1"/>
  <c r="S566" i="19" s="1"/>
  <c r="P574" i="19" l="1"/>
  <c r="N573" i="19"/>
  <c r="K574" i="19"/>
  <c r="L574" i="19"/>
  <c r="M574" i="19"/>
  <c r="O574" i="19"/>
  <c r="J575" i="19" s="1"/>
  <c r="W565" i="19"/>
  <c r="T566" i="19"/>
  <c r="V566" i="19"/>
  <c r="U566" i="19"/>
  <c r="Y565" i="19"/>
  <c r="L575" i="19" l="1"/>
  <c r="M575" i="19"/>
  <c r="K575" i="19"/>
  <c r="N575" i="19" s="1"/>
  <c r="O575" i="19"/>
  <c r="J576" i="19" s="1"/>
  <c r="N574" i="19"/>
  <c r="P575" i="19"/>
  <c r="X566" i="19"/>
  <c r="S567" i="19" s="1"/>
  <c r="V567" i="19" s="1"/>
  <c r="W566" i="19"/>
  <c r="Y566" i="19"/>
  <c r="M576" i="19" l="1"/>
  <c r="L576" i="19"/>
  <c r="O576" i="19" s="1"/>
  <c r="J577" i="19" s="1"/>
  <c r="K576" i="19"/>
  <c r="N576" i="19" s="1"/>
  <c r="U567" i="19"/>
  <c r="X567" i="19" s="1"/>
  <c r="S568" i="19" s="1"/>
  <c r="T567" i="19"/>
  <c r="W567" i="19" s="1"/>
  <c r="U568" i="19"/>
  <c r="V568" i="19"/>
  <c r="T568" i="19"/>
  <c r="W568" i="19" s="1"/>
  <c r="Y567" i="19"/>
  <c r="L577" i="19" l="1"/>
  <c r="K577" i="19"/>
  <c r="M577" i="19"/>
  <c r="P576" i="19"/>
  <c r="P577" i="19" s="1"/>
  <c r="X568" i="19"/>
  <c r="S569" i="19" s="1"/>
  <c r="Y568" i="19"/>
  <c r="N577" i="19" l="1"/>
  <c r="O577" i="19"/>
  <c r="J578" i="19" s="1"/>
  <c r="U569" i="19"/>
  <c r="V569" i="19"/>
  <c r="X569" i="19" s="1"/>
  <c r="S570" i="19" s="1"/>
  <c r="T569" i="19"/>
  <c r="W569" i="19" s="1"/>
  <c r="Y569" i="19"/>
  <c r="M578" i="19" l="1"/>
  <c r="K578" i="19"/>
  <c r="L578" i="19"/>
  <c r="V570" i="19"/>
  <c r="U570" i="19"/>
  <c r="X570" i="19" s="1"/>
  <c r="S571" i="19" s="1"/>
  <c r="T570" i="19"/>
  <c r="W570" i="19" s="1"/>
  <c r="N578" i="19" l="1"/>
  <c r="P578" i="19"/>
  <c r="O578" i="19"/>
  <c r="J579" i="19" s="1"/>
  <c r="U571" i="19"/>
  <c r="V571" i="19"/>
  <c r="T571" i="19"/>
  <c r="W571" i="19" s="1"/>
  <c r="X571" i="19"/>
  <c r="S572" i="19" s="1"/>
  <c r="Y570" i="19"/>
  <c r="L579" i="19" l="1"/>
  <c r="M579" i="19"/>
  <c r="K579" i="19"/>
  <c r="N579" i="19" s="1"/>
  <c r="P579" i="19"/>
  <c r="V572" i="19"/>
  <c r="T572" i="19"/>
  <c r="U572" i="19"/>
  <c r="Y571" i="19"/>
  <c r="O579" i="19" l="1"/>
  <c r="J580" i="19" s="1"/>
  <c r="W572" i="19"/>
  <c r="X572" i="19"/>
  <c r="S573" i="19" s="1"/>
  <c r="T573" i="19"/>
  <c r="U573" i="19"/>
  <c r="V573" i="19"/>
  <c r="Y572" i="19"/>
  <c r="K580" i="19" l="1"/>
  <c r="L580" i="19"/>
  <c r="M580" i="19"/>
  <c r="O580" i="19"/>
  <c r="J581" i="19" s="1"/>
  <c r="Y573" i="19"/>
  <c r="X573" i="19"/>
  <c r="S574" i="19" s="1"/>
  <c r="W573" i="19"/>
  <c r="L581" i="19" l="1"/>
  <c r="K581" i="19"/>
  <c r="M581" i="19"/>
  <c r="O581" i="19"/>
  <c r="J582" i="19" s="1"/>
  <c r="N580" i="19"/>
  <c r="P580" i="19"/>
  <c r="P581" i="19" s="1"/>
  <c r="V574" i="19"/>
  <c r="U574" i="19"/>
  <c r="T574" i="19"/>
  <c r="X574" i="19"/>
  <c r="S575" i="19" s="1"/>
  <c r="M582" i="19" l="1"/>
  <c r="K582" i="19"/>
  <c r="L582" i="19"/>
  <c r="O582" i="19"/>
  <c r="J583" i="19" s="1"/>
  <c r="N581" i="19"/>
  <c r="W574" i="19"/>
  <c r="Y574" i="19"/>
  <c r="U575" i="19"/>
  <c r="V575" i="19"/>
  <c r="T575" i="19"/>
  <c r="W575" i="19" s="1"/>
  <c r="M583" i="19" l="1"/>
  <c r="K583" i="19"/>
  <c r="N583" i="19" s="1"/>
  <c r="L583" i="19"/>
  <c r="O583" i="19" s="1"/>
  <c r="J584" i="19" s="1"/>
  <c r="N582" i="19"/>
  <c r="P582" i="19"/>
  <c r="P583" i="19" s="1"/>
  <c r="X575" i="19"/>
  <c r="S576" i="19" s="1"/>
  <c r="Y575" i="19"/>
  <c r="K584" i="19" l="1"/>
  <c r="M584" i="19"/>
  <c r="L584" i="19"/>
  <c r="O584" i="19" s="1"/>
  <c r="J585" i="19" s="1"/>
  <c r="P584" i="19"/>
  <c r="U576" i="19"/>
  <c r="V576" i="19"/>
  <c r="T576" i="19"/>
  <c r="W576" i="19" s="1"/>
  <c r="L585" i="19" l="1"/>
  <c r="M585" i="19"/>
  <c r="O585" i="19" s="1"/>
  <c r="J586" i="19" s="1"/>
  <c r="K585" i="19"/>
  <c r="N584" i="19"/>
  <c r="X576" i="19"/>
  <c r="S577" i="19" s="1"/>
  <c r="Y576" i="19"/>
  <c r="M586" i="19" l="1"/>
  <c r="L586" i="19"/>
  <c r="K586" i="19"/>
  <c r="O586" i="19"/>
  <c r="J587" i="19" s="1"/>
  <c r="P585" i="19"/>
  <c r="N585" i="19"/>
  <c r="V577" i="19"/>
  <c r="U577" i="19"/>
  <c r="X577" i="19" s="1"/>
  <c r="S578" i="19" s="1"/>
  <c r="T577" i="19"/>
  <c r="W577" i="19" s="1"/>
  <c r="P586" i="19" l="1"/>
  <c r="N586" i="19"/>
  <c r="L587" i="19"/>
  <c r="K587" i="19"/>
  <c r="M587" i="19"/>
  <c r="O587" i="19" s="1"/>
  <c r="J588" i="19" s="1"/>
  <c r="V578" i="19"/>
  <c r="U578" i="19"/>
  <c r="X578" i="19" s="1"/>
  <c r="S579" i="19" s="1"/>
  <c r="T578" i="19"/>
  <c r="W578" i="19" s="1"/>
  <c r="Y577" i="19"/>
  <c r="L588" i="19" l="1"/>
  <c r="M588" i="19"/>
  <c r="K588" i="19"/>
  <c r="O588" i="19"/>
  <c r="J589" i="19" s="1"/>
  <c r="P587" i="19"/>
  <c r="P588" i="19" s="1"/>
  <c r="N587" i="19"/>
  <c r="T579" i="19"/>
  <c r="U579" i="19"/>
  <c r="X579" i="19" s="1"/>
  <c r="S580" i="19" s="1"/>
  <c r="V579" i="19"/>
  <c r="Y578" i="19"/>
  <c r="Y579" i="19" s="1"/>
  <c r="M589" i="19" l="1"/>
  <c r="K589" i="19"/>
  <c r="L589" i="19"/>
  <c r="O589" i="19"/>
  <c r="J590" i="19" s="1"/>
  <c r="P589" i="19"/>
  <c r="N588" i="19"/>
  <c r="U580" i="19"/>
  <c r="T580" i="19"/>
  <c r="V580" i="19"/>
  <c r="W579" i="19"/>
  <c r="Y580" i="19"/>
  <c r="M590" i="19" l="1"/>
  <c r="L590" i="19"/>
  <c r="K590" i="19"/>
  <c r="N590" i="19" s="1"/>
  <c r="O590" i="19"/>
  <c r="J591" i="19" s="1"/>
  <c r="P590" i="19"/>
  <c r="N589" i="19"/>
  <c r="W580" i="19"/>
  <c r="X580" i="19"/>
  <c r="S581" i="19" s="1"/>
  <c r="K591" i="19" l="1"/>
  <c r="L591" i="19"/>
  <c r="O591" i="19" s="1"/>
  <c r="J592" i="19" s="1"/>
  <c r="M591" i="19"/>
  <c r="P591" i="19"/>
  <c r="V581" i="19"/>
  <c r="U581" i="19"/>
  <c r="T581" i="19"/>
  <c r="M592" i="19" l="1"/>
  <c r="K592" i="19"/>
  <c r="L592" i="19"/>
  <c r="O592" i="19" s="1"/>
  <c r="J593" i="19" s="1"/>
  <c r="P592" i="19"/>
  <c r="N591" i="19"/>
  <c r="W581" i="19"/>
  <c r="Y581" i="19"/>
  <c r="X581" i="19"/>
  <c r="S582" i="19" s="1"/>
  <c r="K593" i="19" l="1"/>
  <c r="L593" i="19"/>
  <c r="M593" i="19"/>
  <c r="O593" i="19" s="1"/>
  <c r="J594" i="19" s="1"/>
  <c r="P593" i="19"/>
  <c r="N592" i="19"/>
  <c r="U582" i="19"/>
  <c r="V582" i="19"/>
  <c r="T582" i="19"/>
  <c r="W582" i="19" s="1"/>
  <c r="X582" i="19"/>
  <c r="S583" i="19" s="1"/>
  <c r="K594" i="19" l="1"/>
  <c r="M594" i="19"/>
  <c r="L594" i="19"/>
  <c r="P594" i="19"/>
  <c r="N593" i="19"/>
  <c r="U583" i="19"/>
  <c r="V583" i="19"/>
  <c r="T583" i="19"/>
  <c r="Y582" i="19"/>
  <c r="Y583" i="19" s="1"/>
  <c r="O594" i="19" l="1"/>
  <c r="J595" i="19" s="1"/>
  <c r="N594" i="19"/>
  <c r="W583" i="19"/>
  <c r="X583" i="19"/>
  <c r="S584" i="19" s="1"/>
  <c r="M595" i="19" l="1"/>
  <c r="L595" i="19"/>
  <c r="K595" i="19"/>
  <c r="U584" i="19"/>
  <c r="V584" i="19"/>
  <c r="T584" i="19"/>
  <c r="N595" i="19" l="1"/>
  <c r="P595" i="19"/>
  <c r="O595" i="19"/>
  <c r="J596" i="19" s="1"/>
  <c r="W584" i="19"/>
  <c r="Y584" i="19"/>
  <c r="X584" i="19"/>
  <c r="S585" i="19" s="1"/>
  <c r="M596" i="19" l="1"/>
  <c r="K596" i="19"/>
  <c r="L596" i="19"/>
  <c r="O596" i="19" s="1"/>
  <c r="J597" i="19" s="1"/>
  <c r="P596" i="19"/>
  <c r="U585" i="19"/>
  <c r="V585" i="19"/>
  <c r="T585" i="19"/>
  <c r="W585" i="19" s="1"/>
  <c r="N596" i="19" l="1"/>
  <c r="K597" i="19"/>
  <c r="L597" i="19"/>
  <c r="M597" i="19"/>
  <c r="O597" i="19"/>
  <c r="J598" i="19" s="1"/>
  <c r="X585" i="19"/>
  <c r="S586" i="19" s="1"/>
  <c r="Y585" i="19"/>
  <c r="L598" i="19" l="1"/>
  <c r="M598" i="19"/>
  <c r="O598" i="19" s="1"/>
  <c r="J599" i="19" s="1"/>
  <c r="K598" i="19"/>
  <c r="N598" i="19" s="1"/>
  <c r="N597" i="19"/>
  <c r="P597" i="19"/>
  <c r="P598" i="19" s="1"/>
  <c r="Y586" i="19"/>
  <c r="V586" i="19"/>
  <c r="X586" i="19"/>
  <c r="S587" i="19" s="1"/>
  <c r="U586" i="19"/>
  <c r="T586" i="19"/>
  <c r="M599" i="19" l="1"/>
  <c r="K599" i="19"/>
  <c r="L599" i="19"/>
  <c r="O599" i="19" s="1"/>
  <c r="J600" i="19" s="1"/>
  <c r="T587" i="19"/>
  <c r="U587" i="19"/>
  <c r="V587" i="19"/>
  <c r="X587" i="19" s="1"/>
  <c r="S588" i="19" s="1"/>
  <c r="W586" i="19"/>
  <c r="L600" i="19" l="1"/>
  <c r="K600" i="19"/>
  <c r="M600" i="19"/>
  <c r="O600" i="19" s="1"/>
  <c r="J601" i="19" s="1"/>
  <c r="N599" i="19"/>
  <c r="P599" i="19"/>
  <c r="P600" i="19" s="1"/>
  <c r="W587" i="19"/>
  <c r="U588" i="19"/>
  <c r="T588" i="19"/>
  <c r="V588" i="19"/>
  <c r="Y587" i="19"/>
  <c r="K601" i="19" l="1"/>
  <c r="L601" i="19"/>
  <c r="M601" i="19"/>
  <c r="O601" i="19"/>
  <c r="J602" i="19" s="1"/>
  <c r="P601" i="19"/>
  <c r="N600" i="19"/>
  <c r="W588" i="19"/>
  <c r="X588" i="19"/>
  <c r="S589" i="19" s="1"/>
  <c r="U589" i="19"/>
  <c r="T589" i="19"/>
  <c r="V589" i="19"/>
  <c r="X589" i="19" s="1"/>
  <c r="S590" i="19" s="1"/>
  <c r="Y588" i="19"/>
  <c r="L602" i="19" l="1"/>
  <c r="K602" i="19"/>
  <c r="M602" i="19"/>
  <c r="O602" i="19"/>
  <c r="J603" i="19" s="1"/>
  <c r="P602" i="19"/>
  <c r="N601" i="19"/>
  <c r="Y589" i="19"/>
  <c r="W589" i="19"/>
  <c r="T590" i="19"/>
  <c r="V590" i="19"/>
  <c r="U590" i="19"/>
  <c r="X590" i="19" s="1"/>
  <c r="S591" i="19" s="1"/>
  <c r="M603" i="19" l="1"/>
  <c r="K603" i="19"/>
  <c r="L603" i="19"/>
  <c r="O603" i="19"/>
  <c r="J604" i="19" s="1"/>
  <c r="N602" i="19"/>
  <c r="U591" i="19"/>
  <c r="T591" i="19"/>
  <c r="V591" i="19"/>
  <c r="X591" i="19"/>
  <c r="S592" i="19" s="1"/>
  <c r="W590" i="19"/>
  <c r="Y590" i="19"/>
  <c r="K604" i="19" l="1"/>
  <c r="M604" i="19"/>
  <c r="L604" i="19"/>
  <c r="O604" i="19"/>
  <c r="J605" i="19" s="1"/>
  <c r="P603" i="19"/>
  <c r="P604" i="19" s="1"/>
  <c r="N603" i="19"/>
  <c r="Y591" i="19"/>
  <c r="U592" i="19"/>
  <c r="V592" i="19"/>
  <c r="T592" i="19"/>
  <c r="W592" i="19" s="1"/>
  <c r="X592" i="19"/>
  <c r="S593" i="19" s="1"/>
  <c r="W591" i="19"/>
  <c r="Y592" i="19"/>
  <c r="K605" i="19" l="1"/>
  <c r="L605" i="19"/>
  <c r="M605" i="19"/>
  <c r="P605" i="19"/>
  <c r="N604" i="19"/>
  <c r="V593" i="19"/>
  <c r="U593" i="19"/>
  <c r="X593" i="19" s="1"/>
  <c r="S594" i="19" s="1"/>
  <c r="T593" i="19"/>
  <c r="W593" i="19" s="1"/>
  <c r="O605" i="19" l="1"/>
  <c r="J606" i="19" s="1"/>
  <c r="N605" i="19"/>
  <c r="U594" i="19"/>
  <c r="V594" i="19"/>
  <c r="X594" i="19" s="1"/>
  <c r="S595" i="19" s="1"/>
  <c r="T594" i="19"/>
  <c r="W594" i="19" s="1"/>
  <c r="Y593" i="19"/>
  <c r="Y594" i="19" s="1"/>
  <c r="K606" i="19" l="1"/>
  <c r="M606" i="19"/>
  <c r="L606" i="19"/>
  <c r="O606" i="19" s="1"/>
  <c r="J607" i="19" s="1"/>
  <c r="T595" i="19"/>
  <c r="U595" i="19"/>
  <c r="X595" i="19" s="1"/>
  <c r="S596" i="19" s="1"/>
  <c r="V595" i="19"/>
  <c r="K607" i="19" l="1"/>
  <c r="M607" i="19"/>
  <c r="L607" i="19"/>
  <c r="O607" i="19"/>
  <c r="J608" i="19" s="1"/>
  <c r="P606" i="19"/>
  <c r="P607" i="19" s="1"/>
  <c r="N606" i="19"/>
  <c r="W595" i="19"/>
  <c r="T596" i="19"/>
  <c r="U596" i="19"/>
  <c r="X596" i="19" s="1"/>
  <c r="S597" i="19" s="1"/>
  <c r="V596" i="19"/>
  <c r="Y595" i="19"/>
  <c r="Y596" i="19" s="1"/>
  <c r="K608" i="19" l="1"/>
  <c r="L608" i="19"/>
  <c r="M608" i="19"/>
  <c r="O608" i="19"/>
  <c r="J609" i="19" s="1"/>
  <c r="P608" i="19"/>
  <c r="N607" i="19"/>
  <c r="V597" i="19"/>
  <c r="U597" i="19"/>
  <c r="X597" i="19" s="1"/>
  <c r="S598" i="19" s="1"/>
  <c r="T597" i="19"/>
  <c r="W597" i="19" s="1"/>
  <c r="W596" i="19"/>
  <c r="K609" i="19" l="1"/>
  <c r="M609" i="19"/>
  <c r="L609" i="19"/>
  <c r="O609" i="19"/>
  <c r="J610" i="19" s="1"/>
  <c r="N608" i="19"/>
  <c r="Y597" i="19"/>
  <c r="T598" i="19"/>
  <c r="V598" i="19"/>
  <c r="U598" i="19"/>
  <c r="X598" i="19" s="1"/>
  <c r="S599" i="19" s="1"/>
  <c r="M610" i="19" l="1"/>
  <c r="L610" i="19"/>
  <c r="K610" i="19"/>
  <c r="N610" i="19" s="1"/>
  <c r="O610" i="19"/>
  <c r="J611" i="19" s="1"/>
  <c r="N609" i="19"/>
  <c r="P609" i="19"/>
  <c r="P610" i="19" s="1"/>
  <c r="T599" i="19"/>
  <c r="U599" i="19"/>
  <c r="V599" i="19"/>
  <c r="X599" i="19" s="1"/>
  <c r="S600" i="19" s="1"/>
  <c r="W598" i="19"/>
  <c r="Y598" i="19"/>
  <c r="Y599" i="19" s="1"/>
  <c r="L611" i="19" l="1"/>
  <c r="M611" i="19"/>
  <c r="K611" i="19"/>
  <c r="N611" i="19" s="1"/>
  <c r="O611" i="19"/>
  <c r="J612" i="19" s="1"/>
  <c r="T600" i="19"/>
  <c r="Y600" i="19" s="1"/>
  <c r="V600" i="19"/>
  <c r="U600" i="19"/>
  <c r="X600" i="19" s="1"/>
  <c r="S601" i="19" s="1"/>
  <c r="W599" i="19"/>
  <c r="M612" i="19" l="1"/>
  <c r="K612" i="19"/>
  <c r="L612" i="19"/>
  <c r="O612" i="19" s="1"/>
  <c r="J613" i="19" s="1"/>
  <c r="P611" i="19"/>
  <c r="P612" i="19" s="1"/>
  <c r="U601" i="19"/>
  <c r="T601" i="19"/>
  <c r="V601" i="19"/>
  <c r="X601" i="19"/>
  <c r="S602" i="19" s="1"/>
  <c r="Y601" i="19"/>
  <c r="W600" i="19"/>
  <c r="M613" i="19" l="1"/>
  <c r="L613" i="19"/>
  <c r="K613" i="19"/>
  <c r="N613" i="19" s="1"/>
  <c r="O613" i="19"/>
  <c r="J614" i="19" s="1"/>
  <c r="P613" i="19"/>
  <c r="N612" i="19"/>
  <c r="T602" i="19"/>
  <c r="V602" i="19"/>
  <c r="U602" i="19"/>
  <c r="W601" i="19"/>
  <c r="M614" i="19" l="1"/>
  <c r="L614" i="19"/>
  <c r="O614" i="19" s="1"/>
  <c r="J615" i="19" s="1"/>
  <c r="K614" i="19"/>
  <c r="N614" i="19" s="1"/>
  <c r="P614" i="19"/>
  <c r="W602" i="19"/>
  <c r="Y602" i="19"/>
  <c r="X602" i="19"/>
  <c r="S603" i="19" s="1"/>
  <c r="K615" i="19" l="1"/>
  <c r="M615" i="19"/>
  <c r="O615" i="19" s="1"/>
  <c r="J616" i="19" s="1"/>
  <c r="L615" i="19"/>
  <c r="T603" i="19"/>
  <c r="V603" i="19"/>
  <c r="U603" i="19"/>
  <c r="Y603" i="19"/>
  <c r="N615" i="19" l="1"/>
  <c r="L616" i="19"/>
  <c r="M616" i="19"/>
  <c r="K616" i="19"/>
  <c r="N616" i="19" s="1"/>
  <c r="P615" i="19"/>
  <c r="P616" i="19" s="1"/>
  <c r="X603" i="19"/>
  <c r="S604" i="19" s="1"/>
  <c r="V604" i="19"/>
  <c r="X604" i="19" s="1"/>
  <c r="S605" i="19" s="1"/>
  <c r="U604" i="19"/>
  <c r="T604" i="19"/>
  <c r="W603" i="19"/>
  <c r="O616" i="19" l="1"/>
  <c r="J617" i="19" s="1"/>
  <c r="W604" i="19"/>
  <c r="U605" i="19"/>
  <c r="T605" i="19"/>
  <c r="V605" i="19"/>
  <c r="X605" i="19" s="1"/>
  <c r="S606" i="19" s="1"/>
  <c r="Y604" i="19"/>
  <c r="Y605" i="19" s="1"/>
  <c r="L617" i="19" l="1"/>
  <c r="K617" i="19"/>
  <c r="M617" i="19"/>
  <c r="T606" i="19"/>
  <c r="V606" i="19"/>
  <c r="U606" i="19"/>
  <c r="X606" i="19" s="1"/>
  <c r="S607" i="19" s="1"/>
  <c r="W605" i="19"/>
  <c r="N617" i="19" l="1"/>
  <c r="P617" i="19"/>
  <c r="O617" i="19"/>
  <c r="J618" i="19" s="1"/>
  <c r="W606" i="19"/>
  <c r="V607" i="19"/>
  <c r="T607" i="19"/>
  <c r="U607" i="19"/>
  <c r="X607" i="19" s="1"/>
  <c r="S608" i="19" s="1"/>
  <c r="Y606" i="19"/>
  <c r="L618" i="19" l="1"/>
  <c r="K618" i="19"/>
  <c r="M618" i="19"/>
  <c r="O618" i="19"/>
  <c r="J619" i="19" s="1"/>
  <c r="Y607" i="19"/>
  <c r="V608" i="19"/>
  <c r="U608" i="19"/>
  <c r="X608" i="19" s="1"/>
  <c r="S609" i="19" s="1"/>
  <c r="T608" i="19"/>
  <c r="W608" i="19" s="1"/>
  <c r="W607" i="19"/>
  <c r="L619" i="19" l="1"/>
  <c r="K619" i="19"/>
  <c r="M619" i="19"/>
  <c r="O619" i="19"/>
  <c r="J620" i="19" s="1"/>
  <c r="P618" i="19"/>
  <c r="P619" i="19" s="1"/>
  <c r="N618" i="19"/>
  <c r="Y608" i="19"/>
  <c r="V609" i="19"/>
  <c r="U609" i="19"/>
  <c r="X609" i="19" s="1"/>
  <c r="S610" i="19" s="1"/>
  <c r="T609" i="19"/>
  <c r="N619" i="19" l="1"/>
  <c r="L620" i="19"/>
  <c r="M620" i="19"/>
  <c r="O620" i="19"/>
  <c r="J621" i="19" s="1"/>
  <c r="K620" i="19"/>
  <c r="N620" i="19" s="1"/>
  <c r="W609" i="19"/>
  <c r="V610" i="19"/>
  <c r="T610" i="19"/>
  <c r="W610" i="19" s="1"/>
  <c r="U610" i="19"/>
  <c r="Y609" i="19"/>
  <c r="M621" i="19" l="1"/>
  <c r="K621" i="19"/>
  <c r="L621" i="19"/>
  <c r="P620" i="19"/>
  <c r="P621" i="19" s="1"/>
  <c r="Y610" i="19"/>
  <c r="X610" i="19"/>
  <c r="S611" i="19" s="1"/>
  <c r="N621" i="19" l="1"/>
  <c r="O621" i="19"/>
  <c r="J622" i="19" s="1"/>
  <c r="T611" i="19"/>
  <c r="U611" i="19"/>
  <c r="V611" i="19"/>
  <c r="X611" i="19" s="1"/>
  <c r="S612" i="19" s="1"/>
  <c r="Y611" i="19"/>
  <c r="L622" i="19" l="1"/>
  <c r="M622" i="19"/>
  <c r="K622" i="19"/>
  <c r="O622" i="19"/>
  <c r="J623" i="19" s="1"/>
  <c r="T612" i="19"/>
  <c r="U612" i="19"/>
  <c r="V612" i="19"/>
  <c r="X612" i="19"/>
  <c r="S613" i="19" s="1"/>
  <c r="Y612" i="19"/>
  <c r="W611" i="19"/>
  <c r="M623" i="19" l="1"/>
  <c r="K623" i="19"/>
  <c r="L623" i="19"/>
  <c r="O623" i="19"/>
  <c r="J624" i="19" s="1"/>
  <c r="N622" i="19"/>
  <c r="P622" i="19"/>
  <c r="P623" i="19" s="1"/>
  <c r="T613" i="19"/>
  <c r="W613" i="19" s="1"/>
  <c r="U613" i="19"/>
  <c r="V613" i="19"/>
  <c r="X613" i="19" s="1"/>
  <c r="S614" i="19" s="1"/>
  <c r="W612" i="19"/>
  <c r="M624" i="19" l="1"/>
  <c r="L624" i="19"/>
  <c r="K624" i="19"/>
  <c r="N624" i="19" s="1"/>
  <c r="N623" i="19"/>
  <c r="P624" i="19"/>
  <c r="Y613" i="19"/>
  <c r="V614" i="19"/>
  <c r="U614" i="19"/>
  <c r="X614" i="19" s="1"/>
  <c r="S615" i="19" s="1"/>
  <c r="T614" i="19"/>
  <c r="W614" i="19" s="1"/>
  <c r="O624" i="19" l="1"/>
  <c r="J625" i="19" s="1"/>
  <c r="V615" i="19"/>
  <c r="T615" i="19"/>
  <c r="U615" i="19"/>
  <c r="X615" i="19" s="1"/>
  <c r="S616" i="19" s="1"/>
  <c r="Y614" i="19"/>
  <c r="Y615" i="19" s="1"/>
  <c r="K625" i="19" l="1"/>
  <c r="L625" i="19"/>
  <c r="M625" i="19"/>
  <c r="O625" i="19"/>
  <c r="J626" i="19" s="1"/>
  <c r="T616" i="19"/>
  <c r="U616" i="19"/>
  <c r="X616" i="19" s="1"/>
  <c r="S617" i="19" s="1"/>
  <c r="V616" i="19"/>
  <c r="W615" i="19"/>
  <c r="L626" i="19" l="1"/>
  <c r="M626" i="19"/>
  <c r="K626" i="19"/>
  <c r="N626" i="19" s="1"/>
  <c r="O626" i="19"/>
  <c r="J627" i="19" s="1"/>
  <c r="N625" i="19"/>
  <c r="P625" i="19"/>
  <c r="P626" i="19" s="1"/>
  <c r="V617" i="19"/>
  <c r="T617" i="19"/>
  <c r="U617" i="19"/>
  <c r="X617" i="19" s="1"/>
  <c r="S618" i="19" s="1"/>
  <c r="W616" i="19"/>
  <c r="Y616" i="19"/>
  <c r="Y617" i="19" s="1"/>
  <c r="M627" i="19" l="1"/>
  <c r="K627" i="19"/>
  <c r="L627" i="19"/>
  <c r="O627" i="19" s="1"/>
  <c r="J628" i="19" s="1"/>
  <c r="P627" i="19"/>
  <c r="T618" i="19"/>
  <c r="Y618" i="19" s="1"/>
  <c r="U618" i="19"/>
  <c r="X618" i="19" s="1"/>
  <c r="S619" i="19" s="1"/>
  <c r="V618" i="19"/>
  <c r="W617" i="19"/>
  <c r="K628" i="19" l="1"/>
  <c r="L628" i="19"/>
  <c r="O628" i="19" s="1"/>
  <c r="J629" i="19" s="1"/>
  <c r="M628" i="19"/>
  <c r="P628" i="19"/>
  <c r="N627" i="19"/>
  <c r="V619" i="19"/>
  <c r="T619" i="19"/>
  <c r="W619" i="19" s="1"/>
  <c r="U619" i="19"/>
  <c r="X619" i="19" s="1"/>
  <c r="S620" i="19" s="1"/>
  <c r="W618" i="19"/>
  <c r="M629" i="19" l="1"/>
  <c r="L629" i="19"/>
  <c r="O629" i="19" s="1"/>
  <c r="J630" i="19" s="1"/>
  <c r="K629" i="19"/>
  <c r="N629" i="19" s="1"/>
  <c r="N628" i="19"/>
  <c r="V620" i="19"/>
  <c r="T620" i="19"/>
  <c r="U620" i="19"/>
  <c r="X620" i="19"/>
  <c r="S621" i="19" s="1"/>
  <c r="Y619" i="19"/>
  <c r="M630" i="19" l="1"/>
  <c r="K630" i="19"/>
  <c r="L630" i="19"/>
  <c r="O630" i="19"/>
  <c r="J631" i="19" s="1"/>
  <c r="P629" i="19"/>
  <c r="P630" i="19" s="1"/>
  <c r="U621" i="19"/>
  <c r="V621" i="19"/>
  <c r="T621" i="19"/>
  <c r="W621" i="19" s="1"/>
  <c r="Y620" i="19"/>
  <c r="Y621" i="19" s="1"/>
  <c r="W620" i="19"/>
  <c r="M631" i="19" l="1"/>
  <c r="L631" i="19"/>
  <c r="K631" i="19"/>
  <c r="N631" i="19" s="1"/>
  <c r="O631" i="19"/>
  <c r="J632" i="19" s="1"/>
  <c r="P631" i="19"/>
  <c r="N630" i="19"/>
  <c r="X621" i="19"/>
  <c r="S622" i="19" s="1"/>
  <c r="L632" i="19" l="1"/>
  <c r="M632" i="19"/>
  <c r="K632" i="19"/>
  <c r="N632" i="19" s="1"/>
  <c r="O632" i="19"/>
  <c r="J633" i="19" s="1"/>
  <c r="P632" i="19"/>
  <c r="T622" i="19"/>
  <c r="U622" i="19"/>
  <c r="V622" i="19"/>
  <c r="L633" i="19" l="1"/>
  <c r="M633" i="19"/>
  <c r="K633" i="19"/>
  <c r="N633" i="19" s="1"/>
  <c r="O633" i="19"/>
  <c r="J634" i="19" s="1"/>
  <c r="P633" i="19"/>
  <c r="X622" i="19"/>
  <c r="S623" i="19" s="1"/>
  <c r="W622" i="19"/>
  <c r="Y622" i="19"/>
  <c r="M634" i="19" l="1"/>
  <c r="L634" i="19"/>
  <c r="O634" i="19" s="1"/>
  <c r="J635" i="19" s="1"/>
  <c r="K634" i="19"/>
  <c r="U623" i="19"/>
  <c r="V623" i="19"/>
  <c r="T623" i="19"/>
  <c r="W623" i="19" s="1"/>
  <c r="X623" i="19"/>
  <c r="S624" i="19" s="1"/>
  <c r="M635" i="19" l="1"/>
  <c r="K635" i="19"/>
  <c r="L635" i="19"/>
  <c r="O635" i="19" s="1"/>
  <c r="J636" i="19" s="1"/>
  <c r="N634" i="19"/>
  <c r="P634" i="19"/>
  <c r="V624" i="19"/>
  <c r="U624" i="19"/>
  <c r="T624" i="19"/>
  <c r="W624" i="19" s="1"/>
  <c r="X624" i="19"/>
  <c r="S625" i="19" s="1"/>
  <c r="Y623" i="19"/>
  <c r="P635" i="19" l="1"/>
  <c r="N635" i="19"/>
  <c r="K636" i="19"/>
  <c r="L636" i="19"/>
  <c r="M636" i="19"/>
  <c r="O636" i="19"/>
  <c r="J637" i="19" s="1"/>
  <c r="U625" i="19"/>
  <c r="X625" i="19" s="1"/>
  <c r="S626" i="19" s="1"/>
  <c r="T625" i="19"/>
  <c r="V625" i="19"/>
  <c r="Y624" i="19"/>
  <c r="L637" i="19" l="1"/>
  <c r="K637" i="19"/>
  <c r="M637" i="19"/>
  <c r="O637" i="19"/>
  <c r="J638" i="19" s="1"/>
  <c r="N636" i="19"/>
  <c r="P636" i="19"/>
  <c r="P637" i="19" s="1"/>
  <c r="V626" i="19"/>
  <c r="T626" i="19"/>
  <c r="U626" i="19"/>
  <c r="X626" i="19" s="1"/>
  <c r="S627" i="19" s="1"/>
  <c r="Y625" i="19"/>
  <c r="W625" i="19"/>
  <c r="N637" i="19" l="1"/>
  <c r="K638" i="19"/>
  <c r="L638" i="19"/>
  <c r="M638" i="19"/>
  <c r="Y626" i="19"/>
  <c r="U627" i="19"/>
  <c r="V627" i="19"/>
  <c r="X627" i="19" s="1"/>
  <c r="S628" i="19" s="1"/>
  <c r="T627" i="19"/>
  <c r="W627" i="19" s="1"/>
  <c r="W626" i="19"/>
  <c r="O638" i="19" l="1"/>
  <c r="J639" i="19" s="1"/>
  <c r="N638" i="19"/>
  <c r="P638" i="19"/>
  <c r="Y627" i="19"/>
  <c r="U628" i="19"/>
  <c r="V628" i="19"/>
  <c r="T628" i="19"/>
  <c r="L639" i="19" l="1"/>
  <c r="M639" i="19"/>
  <c r="K639" i="19"/>
  <c r="N639" i="19" s="1"/>
  <c r="O639" i="19"/>
  <c r="J640" i="19" s="1"/>
  <c r="X628" i="19"/>
  <c r="S629" i="19" s="1"/>
  <c r="W628" i="19"/>
  <c r="U629" i="19"/>
  <c r="X629" i="19" s="1"/>
  <c r="S630" i="19" s="1"/>
  <c r="V629" i="19"/>
  <c r="T629" i="19"/>
  <c r="Y628" i="19"/>
  <c r="Y629" i="19" s="1"/>
  <c r="L640" i="19" l="1"/>
  <c r="O640" i="19" s="1"/>
  <c r="J641" i="19" s="1"/>
  <c r="M640" i="19"/>
  <c r="K640" i="19"/>
  <c r="N640" i="19" s="1"/>
  <c r="P639" i="19"/>
  <c r="P640" i="19" s="1"/>
  <c r="V630" i="19"/>
  <c r="U630" i="19"/>
  <c r="T630" i="19"/>
  <c r="Y630" i="19" s="1"/>
  <c r="X630" i="19"/>
  <c r="S631" i="19" s="1"/>
  <c r="W629" i="19"/>
  <c r="K641" i="19" l="1"/>
  <c r="M641" i="19"/>
  <c r="L641" i="19"/>
  <c r="O641" i="19" s="1"/>
  <c r="J642" i="19" s="1"/>
  <c r="P641" i="19"/>
  <c r="T631" i="19"/>
  <c r="U631" i="19"/>
  <c r="V631" i="19"/>
  <c r="W630" i="19"/>
  <c r="L642" i="19" l="1"/>
  <c r="K642" i="19"/>
  <c r="M642" i="19"/>
  <c r="O642" i="19"/>
  <c r="J643" i="19" s="1"/>
  <c r="P642" i="19"/>
  <c r="N641" i="19"/>
  <c r="X631" i="19"/>
  <c r="S632" i="19" s="1"/>
  <c r="Y631" i="19"/>
  <c r="W631" i="19"/>
  <c r="K643" i="19" l="1"/>
  <c r="L643" i="19"/>
  <c r="M643" i="19"/>
  <c r="P643" i="19"/>
  <c r="N642" i="19"/>
  <c r="Y632" i="19"/>
  <c r="V632" i="19"/>
  <c r="U632" i="19"/>
  <c r="T632" i="19"/>
  <c r="O643" i="19" l="1"/>
  <c r="J644" i="19" s="1"/>
  <c r="N643" i="19"/>
  <c r="W632" i="19"/>
  <c r="X632" i="19"/>
  <c r="S633" i="19" s="1"/>
  <c r="L644" i="19" l="1"/>
  <c r="M644" i="19"/>
  <c r="O644" i="19"/>
  <c r="J645" i="19" s="1"/>
  <c r="K644" i="19"/>
  <c r="T633" i="19"/>
  <c r="U633" i="19"/>
  <c r="V633" i="19"/>
  <c r="X633" i="19" s="1"/>
  <c r="S634" i="19" s="1"/>
  <c r="M645" i="19" l="1"/>
  <c r="K645" i="19"/>
  <c r="L645" i="19"/>
  <c r="O645" i="19" s="1"/>
  <c r="J646" i="19" s="1"/>
  <c r="N644" i="19"/>
  <c r="P644" i="19"/>
  <c r="P645" i="19" s="1"/>
  <c r="V634" i="19"/>
  <c r="T634" i="19"/>
  <c r="U634" i="19"/>
  <c r="W633" i="19"/>
  <c r="Y633" i="19"/>
  <c r="Y634" i="19" s="1"/>
  <c r="L646" i="19" l="1"/>
  <c r="O646" i="19" s="1"/>
  <c r="J647" i="19" s="1"/>
  <c r="K646" i="19"/>
  <c r="M646" i="19"/>
  <c r="P646" i="19"/>
  <c r="N645" i="19"/>
  <c r="W634" i="19"/>
  <c r="X634" i="19"/>
  <c r="S635" i="19" s="1"/>
  <c r="K647" i="19" l="1"/>
  <c r="M647" i="19"/>
  <c r="L647" i="19"/>
  <c r="O647" i="19" s="1"/>
  <c r="J648" i="19" s="1"/>
  <c r="P647" i="19"/>
  <c r="N646" i="19"/>
  <c r="V635" i="19"/>
  <c r="T635" i="19"/>
  <c r="U635" i="19"/>
  <c r="X635" i="19" s="1"/>
  <c r="S636" i="19" s="1"/>
  <c r="M648" i="19" l="1"/>
  <c r="L648" i="19"/>
  <c r="K648" i="19"/>
  <c r="N648" i="19" s="1"/>
  <c r="O648" i="19"/>
  <c r="J649" i="19" s="1"/>
  <c r="N647" i="19"/>
  <c r="U636" i="19"/>
  <c r="V636" i="19"/>
  <c r="T636" i="19"/>
  <c r="W636" i="19" s="1"/>
  <c r="X636" i="19"/>
  <c r="S637" i="19" s="1"/>
  <c r="W635" i="19"/>
  <c r="Y635" i="19"/>
  <c r="Y636" i="19" s="1"/>
  <c r="M649" i="19" l="1"/>
  <c r="K649" i="19"/>
  <c r="L649" i="19"/>
  <c r="O649" i="19" s="1"/>
  <c r="J650" i="19" s="1"/>
  <c r="P648" i="19"/>
  <c r="P649" i="19" s="1"/>
  <c r="U637" i="19"/>
  <c r="V637" i="19"/>
  <c r="T637" i="19"/>
  <c r="X637" i="19"/>
  <c r="S638" i="19" s="1"/>
  <c r="M650" i="19" l="1"/>
  <c r="L650" i="19"/>
  <c r="O650" i="19" s="1"/>
  <c r="C24" i="19" s="1"/>
  <c r="K650" i="19"/>
  <c r="N650" i="19" s="1"/>
  <c r="N649" i="19"/>
  <c r="C21" i="19"/>
  <c r="T638" i="19"/>
  <c r="U638" i="19"/>
  <c r="V638" i="19"/>
  <c r="X638" i="19" s="1"/>
  <c r="S639" i="19" s="1"/>
  <c r="Y637" i="19"/>
  <c r="Y638" i="19" s="1"/>
  <c r="W637" i="19"/>
  <c r="C25" i="19" l="1"/>
  <c r="C40" i="19" s="1"/>
  <c r="C32" i="19"/>
  <c r="C33" i="19" s="1"/>
  <c r="C22" i="19"/>
  <c r="C38" i="19" s="1"/>
  <c r="C23" i="19"/>
  <c r="C39" i="19" s="1"/>
  <c r="C31" i="19"/>
  <c r="C37" i="19"/>
  <c r="P650" i="19"/>
  <c r="U639" i="19"/>
  <c r="T639" i="19"/>
  <c r="V639" i="19"/>
  <c r="X639" i="19" s="1"/>
  <c r="S640" i="19" s="1"/>
  <c r="W638" i="19"/>
  <c r="U640" i="19" l="1"/>
  <c r="V640" i="19"/>
  <c r="T640" i="19"/>
  <c r="W640" i="19" s="1"/>
  <c r="X640" i="19"/>
  <c r="S641" i="19" s="1"/>
  <c r="W639" i="19"/>
  <c r="Y639" i="19"/>
  <c r="Y640" i="19" s="1"/>
  <c r="T641" i="19" l="1"/>
  <c r="V641" i="19"/>
  <c r="U641" i="19"/>
  <c r="X641" i="19" s="1"/>
  <c r="S642" i="19" s="1"/>
  <c r="U642" i="19" l="1"/>
  <c r="T642" i="19"/>
  <c r="V642" i="19"/>
  <c r="X642" i="19"/>
  <c r="S643" i="19" s="1"/>
  <c r="W641" i="19"/>
  <c r="Y641" i="19"/>
  <c r="Y642" i="19" s="1"/>
  <c r="T643" i="19" l="1"/>
  <c r="U643" i="19"/>
  <c r="V643" i="19"/>
  <c r="Y643" i="19"/>
  <c r="W642" i="19"/>
  <c r="X643" i="19" l="1"/>
  <c r="S644" i="19" s="1"/>
  <c r="W643" i="19"/>
  <c r="U644" i="19" l="1"/>
  <c r="V644" i="19"/>
  <c r="X644" i="19"/>
  <c r="S645" i="19" s="1"/>
  <c r="T644" i="19"/>
  <c r="W644" i="19" l="1"/>
  <c r="Y644" i="19"/>
  <c r="U645" i="19"/>
  <c r="T645" i="19"/>
  <c r="V645" i="19"/>
  <c r="X645" i="19"/>
  <c r="S646" i="19" s="1"/>
  <c r="T646" i="19" l="1"/>
  <c r="U646" i="19"/>
  <c r="V646" i="19"/>
  <c r="X646" i="19"/>
  <c r="S647" i="19" s="1"/>
  <c r="Y645" i="19"/>
  <c r="Y646" i="19" s="1"/>
  <c r="W645" i="19"/>
  <c r="U647" i="19" l="1"/>
  <c r="T647" i="19"/>
  <c r="V647" i="19"/>
  <c r="X647" i="19" s="1"/>
  <c r="S648" i="19" s="1"/>
  <c r="W646" i="19"/>
  <c r="T648" i="19" l="1"/>
  <c r="V648" i="19"/>
  <c r="U648" i="19"/>
  <c r="X648" i="19" s="1"/>
  <c r="S649" i="19" s="1"/>
  <c r="W647" i="19"/>
  <c r="Y647" i="19"/>
  <c r="Y648" i="19" s="1"/>
  <c r="T649" i="19" l="1"/>
  <c r="U649" i="19"/>
  <c r="V649" i="19"/>
  <c r="Y649" i="19"/>
  <c r="W648" i="19"/>
  <c r="X649" i="19" l="1"/>
  <c r="S650" i="19" s="1"/>
  <c r="V650" i="19" s="1"/>
  <c r="U650" i="19"/>
  <c r="T650" i="19"/>
  <c r="Y650" i="19"/>
  <c r="W649" i="19"/>
  <c r="X650" i="19" l="1"/>
  <c r="F24" i="19" s="1"/>
  <c r="F25" i="19" s="1"/>
  <c r="F40" i="19" s="1"/>
  <c r="W650" i="19"/>
  <c r="F21" i="19"/>
  <c r="F23" i="19" l="1"/>
  <c r="F39" i="19" s="1"/>
  <c r="F22" i="19"/>
  <c r="F38" i="19" s="1"/>
  <c r="F37" i="19"/>
  <c r="C45" i="1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3AE3D0E-C724-46FF-8BDD-C0AD61F43549}" keepAlive="1" name="Query - Data" description="Connection to the 'Data' query in the workbook." type="5" refreshedVersion="8" background="1">
    <dbPr connection="Provider=Microsoft.Mashup.OleDb.1;Data Source=$Workbook$;Location=Data;Extended Properties=&quot;&quot;" command="SELECT * FROM [Data]"/>
  </connection>
  <connection id="2" xr16:uid="{52484DE1-819F-4A84-9103-47B425E30A0C}" keepAlive="1" name="Query - TblBudget" description="Connection to the 'TblBudget' query in the workbook." type="5" refreshedVersion="0" background="1">
    <dbPr connection="Provider=Microsoft.Mashup.OleDb.1;Data Source=$Workbook$;Location=TblBudget;Extended Properties=&quot;&quot;" command="SELECT * FROM [TblBudget]"/>
  </connection>
  <connection id="3" xr16:uid="{556018EE-0909-4A9A-91A0-D4862518E0E9}" keepAlive="1" name="Query - TblCategories" description="Connection to the 'TblCategories' query in the workbook." type="5" refreshedVersion="0" background="1">
    <dbPr connection="Provider=Microsoft.Mashup.OleDb.1;Data Source=$Workbook$;Location=TblCategories;Extended Properties=&quot;&quot;" command="SELECT * FROM [TblCategories]"/>
  </connection>
  <connection id="4" xr16:uid="{DC3336DA-07E4-4B3F-B353-5B69F8175802}" keepAlive="1" name="Query - TblTransactions" description="Connection to the 'TblTransactions' query in the workbook." type="5" refreshedVersion="0" background="1">
    <dbPr connection="Provider=Microsoft.Mashup.OleDb.1;Data Source=$Workbook$;Location=TblTransactions;Extended Properties=&quot;&quot;" command="SELECT * FROM [TblTransactions]"/>
  </connection>
</connections>
</file>

<file path=xl/sharedStrings.xml><?xml version="1.0" encoding="utf-8"?>
<sst xmlns="http://schemas.openxmlformats.org/spreadsheetml/2006/main" count="2350" uniqueCount="369">
  <si>
    <t xml:space="preserve"> Savings - Actual v Goal</t>
  </si>
  <si>
    <t>Input</t>
  </si>
  <si>
    <t>Enter Monthly Savings Amount by Account in Table below</t>
  </si>
  <si>
    <t>Total Savings PivotTable</t>
  </si>
  <si>
    <t>Monthly Savings PivotTable</t>
  </si>
  <si>
    <t>Savings by Account PivotTable</t>
  </si>
  <si>
    <t>Date</t>
  </si>
  <si>
    <t>Account</t>
  </si>
  <si>
    <t>Saved</t>
  </si>
  <si>
    <t>Goal</t>
  </si>
  <si>
    <t xml:space="preserve">Saved </t>
  </si>
  <si>
    <t xml:space="preserve">Goal </t>
  </si>
  <si>
    <t xml:space="preserve"> </t>
  </si>
  <si>
    <t>Dec</t>
  </si>
  <si>
    <t>Holiday Fund</t>
  </si>
  <si>
    <t>Jan</t>
  </si>
  <si>
    <t>Feb</t>
  </si>
  <si>
    <t>Mar</t>
  </si>
  <si>
    <t>Apr</t>
  </si>
  <si>
    <t>May</t>
  </si>
  <si>
    <t>Reporting Categories</t>
  </si>
  <si>
    <t>Sub-category</t>
  </si>
  <si>
    <t>Category</t>
  </si>
  <si>
    <t>Category Type</t>
  </si>
  <si>
    <t>Clothes</t>
  </si>
  <si>
    <t>Expense</t>
  </si>
  <si>
    <t>Coffee</t>
  </si>
  <si>
    <t>Dentist</t>
  </si>
  <si>
    <t>Dividends</t>
  </si>
  <si>
    <t>Income</t>
  </si>
  <si>
    <t>Doctor</t>
  </si>
  <si>
    <t>Donation</t>
  </si>
  <si>
    <t>Entertainment</t>
  </si>
  <si>
    <t>Furnishings</t>
  </si>
  <si>
    <t>Gas/Electrics</t>
  </si>
  <si>
    <t>Gifts</t>
  </si>
  <si>
    <t>Groceries</t>
  </si>
  <si>
    <t>Gym</t>
  </si>
  <si>
    <t>Interest</t>
  </si>
  <si>
    <t>MV Fuel</t>
  </si>
  <si>
    <t>MV Loan</t>
  </si>
  <si>
    <t>Phone</t>
  </si>
  <si>
    <t>Rent</t>
  </si>
  <si>
    <t>Restaurant</t>
  </si>
  <si>
    <t>Salary</t>
  </si>
  <si>
    <t>Taxi</t>
  </si>
  <si>
    <t>Description</t>
  </si>
  <si>
    <t>Debit</t>
  </si>
  <si>
    <t>Credit</t>
  </si>
  <si>
    <t>Checking</t>
  </si>
  <si>
    <t>ACME Pty Ltd</t>
  </si>
  <si>
    <t>Ground</t>
  </si>
  <si>
    <t>Estate Mgt.</t>
  </si>
  <si>
    <t>Finance Co.</t>
  </si>
  <si>
    <t>Green's</t>
  </si>
  <si>
    <t>Elec. Co.</t>
  </si>
  <si>
    <t>Fuel. Co</t>
  </si>
  <si>
    <t>Event Cinemas</t>
  </si>
  <si>
    <t>Fashionistas</t>
  </si>
  <si>
    <t>Joe's Grill</t>
  </si>
  <si>
    <t>Taxi Co.</t>
  </si>
  <si>
    <t>Muscle Beach</t>
  </si>
  <si>
    <t>Smile Dental</t>
  </si>
  <si>
    <t>Phone Co.</t>
  </si>
  <si>
    <t>Sam's Gifts</t>
  </si>
  <si>
    <t>Streaming Co.</t>
  </si>
  <si>
    <t>Pizza Pomodoro</t>
  </si>
  <si>
    <t>Golden Arches</t>
  </si>
  <si>
    <t>Worldvision</t>
  </si>
  <si>
    <t>Ted's Trainers</t>
  </si>
  <si>
    <t>Ticketek</t>
  </si>
  <si>
    <t>Global Fashion</t>
  </si>
  <si>
    <t>Village Medical</t>
  </si>
  <si>
    <t>Sports Co.</t>
  </si>
  <si>
    <t>Foodary</t>
  </si>
  <si>
    <t>BW Club</t>
  </si>
  <si>
    <t>Home Decorator</t>
  </si>
  <si>
    <t>Fodary</t>
  </si>
  <si>
    <t>Budgeted Income &amp; Expenses</t>
  </si>
  <si>
    <t>Year</t>
  </si>
  <si>
    <t>Bank Transactions</t>
  </si>
  <si>
    <t>Row Labels</t>
  </si>
  <si>
    <t>Grand Total</t>
  </si>
  <si>
    <t xml:space="preserve">Budget </t>
  </si>
  <si>
    <t xml:space="preserve">Actual </t>
  </si>
  <si>
    <t>Jun</t>
  </si>
  <si>
    <t>Jul</t>
  </si>
  <si>
    <t>Aug</t>
  </si>
  <si>
    <t>Sep</t>
  </si>
  <si>
    <t>Oct</t>
  </si>
  <si>
    <t>Nov</t>
  </si>
  <si>
    <t>Analysis</t>
  </si>
  <si>
    <t>Saving</t>
  </si>
  <si>
    <t>Amoogle</t>
  </si>
  <si>
    <t xml:space="preserve">Variance </t>
  </si>
  <si>
    <t>💳 Discretionary</t>
  </si>
  <si>
    <t>🍴 Dining Out</t>
  </si>
  <si>
    <t>🩺 Medical</t>
  </si>
  <si>
    <t>📉 Variable</t>
  </si>
  <si>
    <t>🫱 Charity</t>
  </si>
  <si>
    <t>🏠 Living Expenses</t>
  </si>
  <si>
    <t>🚙 Transport</t>
  </si>
  <si>
    <t>💰 Fixed</t>
  </si>
  <si>
    <t>Budget vs Actuals</t>
  </si>
  <si>
    <t>Income Total</t>
  </si>
  <si>
    <t>Expense Total</t>
  </si>
  <si>
    <t>Income Surplus/(Deficit)</t>
  </si>
  <si>
    <t>Personal Profit &amp; Loss</t>
  </si>
  <si>
    <t>Expense by Category Bar Chart</t>
  </si>
  <si>
    <t>Expense by Period Column Chart</t>
  </si>
  <si>
    <t>Income by Period Column Chart</t>
  </si>
  <si>
    <t>Analysis Workings</t>
  </si>
  <si>
    <t>Social Channels</t>
  </si>
  <si>
    <t>Any uses of this workbook and/or data must include the above attribution.</t>
  </si>
  <si>
    <t>This sheet must remain in any file that uses this data and or these techniques.</t>
  </si>
  <si>
    <t>Individual users are permitted to recreate the examples for personal practice only.</t>
  </si>
  <si>
    <t>Copyright Notice</t>
  </si>
  <si>
    <t>Income by Type Doughnut Chart</t>
  </si>
  <si>
    <t>Actual vs Budget variance</t>
  </si>
  <si>
    <r>
      <t xml:space="preserve">Recreating the examples for training or demonstration to others is </t>
    </r>
    <r>
      <rPr>
        <b/>
        <sz val="14"/>
        <rFont val="Aptos Narrow"/>
        <family val="2"/>
        <scheme val="minor"/>
      </rPr>
      <t>not permitted</t>
    </r>
  </si>
  <si>
    <t>Ad Revenue</t>
  </si>
  <si>
    <t>💰 Variable</t>
  </si>
  <si>
    <t>AirBnb Inc</t>
  </si>
  <si>
    <t>Business Inc</t>
  </si>
  <si>
    <t>Gift Contribution</t>
  </si>
  <si>
    <t>Investment Inc</t>
  </si>
  <si>
    <t>Rental Income</t>
  </si>
  <si>
    <t>Bank fees &amp; Charges</t>
  </si>
  <si>
    <t>Business Costs</t>
  </si>
  <si>
    <t>Children</t>
  </si>
  <si>
    <t>Christmas</t>
  </si>
  <si>
    <t>Debt</t>
  </si>
  <si>
    <t>First Fruits</t>
  </si>
  <si>
    <t>Health &amp; Personal</t>
  </si>
  <si>
    <t>Holidays</t>
  </si>
  <si>
    <t>💳 Travelling</t>
  </si>
  <si>
    <t>Home Insurance</t>
  </si>
  <si>
    <t>Home/Rennovations</t>
  </si>
  <si>
    <t>Life Insurance</t>
  </si>
  <si>
    <t>Investment/Property</t>
  </si>
  <si>
    <t>Long-term investments</t>
  </si>
  <si>
    <t>Mortgage</t>
  </si>
  <si>
    <t>MV Loan/Lease</t>
  </si>
  <si>
    <t>Pension (LTS)</t>
  </si>
  <si>
    <t>Pets</t>
  </si>
  <si>
    <t>Restaurants</t>
  </si>
  <si>
    <t>Savings (STS)</t>
  </si>
  <si>
    <t>Tax Bill</t>
  </si>
  <si>
    <t>Tithe</t>
  </si>
  <si>
    <t>Travel &amp; Transport</t>
  </si>
  <si>
    <t>🚙 Variable</t>
  </si>
  <si>
    <t>Utilities (Gas/Elec/Wifi)</t>
  </si>
  <si>
    <t>BUDGET TO USE - 70%</t>
  </si>
  <si>
    <t>LONG TERM SAVING - 10%</t>
  </si>
  <si>
    <t>TITHE - 10%</t>
  </si>
  <si>
    <t>GRAND TOTAL</t>
  </si>
  <si>
    <t>Rental Inc</t>
  </si>
  <si>
    <t>NET Amount</t>
  </si>
  <si>
    <t>Type</t>
  </si>
  <si>
    <t>Source</t>
  </si>
  <si>
    <t>GROSS Amount</t>
  </si>
  <si>
    <t>SHRT TERM SAVING - 10%</t>
  </si>
  <si>
    <t>(blank)</t>
  </si>
  <si>
    <t>(blank) Total</t>
  </si>
  <si>
    <t>Debts</t>
  </si>
  <si>
    <t>Interest Rate</t>
  </si>
  <si>
    <t>Original Loan Amount</t>
  </si>
  <si>
    <t>Minimum Payment</t>
  </si>
  <si>
    <t>Loan Amount</t>
  </si>
  <si>
    <t>Asset Value</t>
  </si>
  <si>
    <t>Debt on Assets</t>
  </si>
  <si>
    <t>Amount Repaid</t>
  </si>
  <si>
    <t>Repaid</t>
  </si>
  <si>
    <t>👮 Personal Loan 1</t>
  </si>
  <si>
    <t>👮 Personal Loan 2</t>
  </si>
  <si>
    <t>💳 C. Card 1</t>
  </si>
  <si>
    <t>💳 C. Card 2</t>
  </si>
  <si>
    <t>💳 C. Card 3</t>
  </si>
  <si>
    <t>👮 Pers Loan 2</t>
  </si>
  <si>
    <t>👮 Pers Loan 1</t>
  </si>
  <si>
    <t>LTV</t>
  </si>
  <si>
    <t>🏠 Rental Property 1</t>
  </si>
  <si>
    <t>🏡 Personal Home</t>
  </si>
  <si>
    <t>Monthly Income</t>
  </si>
  <si>
    <t>Subscriptions</t>
  </si>
  <si>
    <t>Total debt balance</t>
  </si>
  <si>
    <t>Metric</t>
  </si>
  <si>
    <t>Debt Name</t>
  </si>
  <si>
    <t>Change</t>
  </si>
  <si>
    <t>Net Worth</t>
  </si>
  <si>
    <t>Total Liabilities</t>
  </si>
  <si>
    <t>Total Assets</t>
  </si>
  <si>
    <t>Month / Year</t>
  </si>
  <si>
    <t>HISTORICAL NET WORTH — update monthly</t>
  </si>
  <si>
    <t>TOTAL LIABILITIES</t>
  </si>
  <si>
    <t>Other</t>
  </si>
  <si>
    <t>Personal Loan</t>
  </si>
  <si>
    <t>Personal Loan 2</t>
  </si>
  <si>
    <t>Personal Loan 1</t>
  </si>
  <si>
    <t>Credit Card</t>
  </si>
  <si>
    <t>Credit Card 3</t>
  </si>
  <si>
    <t>Credit Card 2</t>
  </si>
  <si>
    <t>Credit Card 1</t>
  </si>
  <si>
    <t>Balance Remaining (£)</t>
  </si>
  <si>
    <t>Liability</t>
  </si>
  <si>
    <t>LIABILITIES</t>
  </si>
  <si>
    <t>TOTAL ASSETS</t>
  </si>
  <si>
    <t>Other Assets</t>
  </si>
  <si>
    <t>Vehicle(s)</t>
  </si>
  <si>
    <t>Business</t>
  </si>
  <si>
    <t>Business Value (est.)</t>
  </si>
  <si>
    <t>Pension</t>
  </si>
  <si>
    <t>Investments</t>
  </si>
  <si>
    <t>ISA / Stocks &amp; Shares ISA</t>
  </si>
  <si>
    <t>Cash</t>
  </si>
  <si>
    <t>Property</t>
  </si>
  <si>
    <t>Rental Property 1</t>
  </si>
  <si>
    <t>Personal Home</t>
  </si>
  <si>
    <t>Current Value (£)</t>
  </si>
  <si>
    <t>Asset</t>
  </si>
  <si>
    <t>ASSETS</t>
  </si>
  <si>
    <t>Track your total assets minus total liabilities to see your real financial position grow over time.</t>
  </si>
  <si>
    <t>📈  Net Worth Tracker</t>
  </si>
  <si>
    <t>Balance Remaining</t>
  </si>
  <si>
    <t>% Paid Off</t>
  </si>
  <si>
    <t>Monthly Payment</t>
  </si>
  <si>
    <t>Cumul. Interest</t>
  </si>
  <si>
    <t>Closing Balance</t>
  </si>
  <si>
    <t>Total Paid</t>
  </si>
  <si>
    <t>Overpayment</t>
  </si>
  <si>
    <t>Capital Repaid</t>
  </si>
  <si>
    <t>Opening Balance</t>
  </si>
  <si>
    <t>Month</t>
  </si>
  <si>
    <t>📋  Mortgage 2 Schedule</t>
  </si>
  <si>
    <t>📋  Full Amortisation Schedule — Mortgage 1 (scroll right for Mortgage 2)</t>
  </si>
  <si>
    <t>📌  HOW TO USE: (1) Enter your loan details in the green inputs above. (2) Monthly payment is auto-calculated. (3) Add monthly or lump-sum overpayments to see interest &amp; time saved. (4) Use Mortgage 2 to compare a remortgage scenario. (5) Balance Remaining Today updates automatically. (6) The Debts sheet pulls "Balance Remaining" directly from this calculator.</t>
  </si>
  <si>
    <t>Interest difference (positive = M2 costs more)</t>
  </si>
  <si>
    <t>💰  Interest Saving: Mortgage 1 vs Mortgage 2</t>
  </si>
  <si>
    <t>LTV Today</t>
  </si>
  <si>
    <t>Balance Remaining Today</t>
  </si>
  <si>
    <t>Actual Term</t>
  </si>
  <si>
    <t>Interest as % of Loan</t>
  </si>
  <si>
    <t>Total Amount Paid</t>
  </si>
  <si>
    <t>Total Interest Paid</t>
  </si>
  <si>
    <t>⚖️  Side-by-Side Comparison</t>
  </si>
  <si>
    <t>Time saved (years &amp; months)</t>
  </si>
  <si>
    <t>Months saved by overpaying</t>
  </si>
  <si>
    <t>Interest saving from overpayments</t>
  </si>
  <si>
    <t>Total interest WITHOUT overpayments</t>
  </si>
  <si>
    <t>Overpayment Saving vs No Overpayments</t>
  </si>
  <si>
    <t>LTV Today (based on Debts sheet asset value)</t>
  </si>
  <si>
    <t>Actual Term (years &amp; months)</t>
  </si>
  <si>
    <t>Actual Mortgage Term</t>
  </si>
  <si>
    <t>Monthly Payment incl. Overpayment</t>
  </si>
  <si>
    <t>Standard Monthly Payment</t>
  </si>
  <si>
    <t>Calculated Monthly Payment - DO NOT CHANGE</t>
  </si>
  <si>
    <t>Lump Sum in Month #</t>
  </si>
  <si>
    <t>One-off Lump Sum Overpayment (£)</t>
  </si>
  <si>
    <t>Monthly Overpayment (£)</t>
  </si>
  <si>
    <t>Repayment</t>
  </si>
  <si>
    <t>Repayment Type</t>
  </si>
  <si>
    <t>Start Year</t>
  </si>
  <si>
    <t>Start Month (1–12)</t>
  </si>
  <si>
    <t>Mortgage Term (years)</t>
  </si>
  <si>
    <t>Annual Interest Rate (%)</t>
  </si>
  <si>
    <t>Loan Amount (£)</t>
  </si>
  <si>
    <t>🏡 Mortgage 2 — Compare Scenario / Remortgage</t>
  </si>
  <si>
    <t>Full amortisation schedule with overpayments · Repayment &amp; Interest-Only · Two mortgages side by side</t>
  </si>
  <si>
    <t>🏡  Mortgage Calculator</t>
  </si>
  <si>
    <r>
      <t xml:space="preserve">🏡 Mortgage 1 — </t>
    </r>
    <r>
      <rPr>
        <b/>
        <sz val="10"/>
        <color rgb="FFFFFFFF"/>
        <rFont val="Inter"/>
      </rPr>
      <t>Your Current Mortgage</t>
    </r>
  </si>
  <si>
    <r>
      <t xml:space="preserve">Start Month (1–12) - </t>
    </r>
    <r>
      <rPr>
        <b/>
        <sz val="9"/>
        <color rgb="FF444441"/>
        <rFont val="Inter"/>
      </rPr>
      <t>INSERT START MONTH</t>
    </r>
  </si>
  <si>
    <r>
      <t xml:space="preserve">Mortgage Term (years) - </t>
    </r>
    <r>
      <rPr>
        <b/>
        <sz val="9"/>
        <color rgb="FF444441"/>
        <rFont val="Inter"/>
      </rPr>
      <t>INSERT CORRECT TERM</t>
    </r>
  </si>
  <si>
    <r>
      <t xml:space="preserve">Start Year - </t>
    </r>
    <r>
      <rPr>
        <b/>
        <sz val="9"/>
        <color rgb="FF444441"/>
        <rFont val="Inter"/>
      </rPr>
      <t>INSERT START YEAR</t>
    </r>
  </si>
  <si>
    <r>
      <t xml:space="preserve">Repayment Type - </t>
    </r>
    <r>
      <rPr>
        <b/>
        <sz val="9"/>
        <color rgb="FF444441"/>
        <rFont val="Inter"/>
      </rPr>
      <t>SELECT FROM DROPDOWN</t>
    </r>
  </si>
  <si>
    <t>💡 Data pulled from your "Debts" tab information</t>
  </si>
  <si>
    <t>💡 Type in the details you wish to compare against</t>
  </si>
  <si>
    <r>
      <t xml:space="preserve">Summary Results - </t>
    </r>
    <r>
      <rPr>
        <b/>
        <sz val="10"/>
        <color rgb="FFFFFFFF"/>
        <rFont val="Inter"/>
      </rPr>
      <t>CALCULATED FROM YOUR ANSWERS</t>
    </r>
  </si>
  <si>
    <t>Capital</t>
  </si>
  <si>
    <t>Mth</t>
  </si>
  <si>
    <t>Months to debt-free</t>
  </si>
  <si>
    <t>Total interest paid</t>
  </si>
  <si>
    <t>Total monthly payment</t>
  </si>
  <si>
    <t>🔥  Avalanche</t>
  </si>
  <si>
    <t>❄️  Snowball</t>
  </si>
  <si>
    <t>📊  Summary Comparison</t>
  </si>
  <si>
    <t>TOTALS</t>
  </si>
  <si>
    <t>🚗  Car Finance</t>
  </si>
  <si>
    <t>👮  Personal Loan 2</t>
  </si>
  <si>
    <t>👮  Personal Loan 1</t>
  </si>
  <si>
    <t>💳  Credit Card 3</t>
  </si>
  <si>
    <t>💳  Credit Card 2</t>
  </si>
  <si>
    <t>💳  Credit Card 1</t>
  </si>
  <si>
    <t>📖  Method guide</t>
  </si>
  <si>
    <t>🧨  Debt Payoff Planner - Snowball vs Avalanche</t>
  </si>
  <si>
    <t>Cum Interest</t>
  </si>
  <si>
    <t>Extra Pool</t>
  </si>
  <si>
    <t>Close</t>
  </si>
  <si>
    <t>Overpay</t>
  </si>
  <si>
    <t>Open</t>
  </si>
  <si>
    <t>🔥  Avalanche Schedule</t>
  </si>
  <si>
    <t>❄️  Snowball Schedule</t>
  </si>
  <si>
    <t>Each row = one calendar month. Highlighted cells = the target debt receiving the extra payment. Grey = debt fully paid off. The freed minimum automatically rolls to the next target.</t>
  </si>
  <si>
    <t>📋  Full Month-by-Month Schedule — ❄️ Snowball (left) · 🔥 Avalanche (right)</t>
  </si>
  <si>
    <t>💡  Both methods use the same extra payment. Interest saving vs minimums shows how much your extra payment achieves. 'Avalanche saves' shows the difference between the two methods.</t>
  </si>
  <si>
    <t>Time saved vs minimums</t>
  </si>
  <si>
    <t>Interest saving vs minimums</t>
  </si>
  <si>
    <t>Interest if paying minimums only</t>
  </si>
  <si>
    <t>Time to debt-free</t>
  </si>
  <si>
    <t>Total amount paid</t>
  </si>
  <si>
    <t>💡  Snowball: rank 1 = smallest balance first.   Avalanche: rank 1 = highest interest rate first.   Change the order numbers to match your actual debts.</t>
  </si>
  <si>
    <t>🔥 Avalanche Order</t>
  </si>
  <si>
    <t>❄️ Snowball Order</t>
  </si>
  <si>
    <t>Min Payment (£/mo)</t>
  </si>
  <si>
    <t>Annual Rate</t>
  </si>
  <si>
    <t>Balance (£)</t>
  </si>
  <si>
    <t>Extra payment above all minimums (£):</t>
  </si>
  <si>
    <t>💷  Extra monthly payment (above all minimums combined)</t>
  </si>
  <si>
    <t>Time to repay at minimums only</t>
  </si>
  <si>
    <t>Your extra payment/month</t>
  </si>
  <si>
    <t>Combined minimum payments/month</t>
  </si>
  <si>
    <t>Avalanche vs Snowball saves</t>
  </si>
  <si>
    <r>
      <t xml:space="preserve">📋  Your Debts - pulled from the "Debts" Sheet - </t>
    </r>
    <r>
      <rPr>
        <b/>
        <sz val="10"/>
        <color rgb="FFFFFFFF"/>
        <rFont val="Inter"/>
      </rPr>
      <t>Maximum of 6 possible</t>
    </r>
  </si>
  <si>
    <t>Your debts get pulled into the green table below - Order them from 1-6, for both the Snowball and the Avalanche. Both methods calculate side by side with full month-by-month schedules and a comparison summary.</t>
  </si>
  <si>
    <t>🔥  AVALANCHE - Pay highest rate first.
Saves the most interest. Mathematically optimal.</t>
  </si>
  <si>
    <t>❄️  SNOWBALL - Pay smallest balance first.
Fast psychological wins. Slightly higher interest cost overall.</t>
  </si>
  <si>
    <t>Cash - Current Account</t>
  </si>
  <si>
    <t>Cash - Savings Account</t>
  </si>
  <si>
    <t>Mortgage - Personal Home</t>
  </si>
  <si>
    <t>Mortgage - Rental Property 1</t>
  </si>
  <si>
    <t>Course Modules</t>
  </si>
  <si>
    <t>Module 1</t>
  </si>
  <si>
    <t>Financial Foundations &amp; Emergency Funds</t>
  </si>
  <si>
    <t>Module 9</t>
  </si>
  <si>
    <t>Financial Planning for Life's Major Events</t>
  </si>
  <si>
    <t>Tools</t>
  </si>
  <si>
    <t>Student Loan Analyser</t>
  </si>
  <si>
    <t>tools.christianfinanceacademy.co.uk</t>
  </si>
  <si>
    <t>Budget Analyser (this file)</t>
  </si>
  <si>
    <t>Your personal finance companion</t>
  </si>
  <si>
    <t>Key External Resources</t>
  </si>
  <si>
    <t>Student Loans Company</t>
  </si>
  <si>
    <t>manage-your-student-loan.service.gov.uk</t>
  </si>
  <si>
    <t>HMRC — Income Tax</t>
  </si>
  <si>
    <t>gov.uk/income-tax</t>
  </si>
  <si>
    <t>MoneyHelper (free UK guidance)</t>
  </si>
  <si>
    <t>moneyhelper.org.uk</t>
  </si>
  <si>
    <t>ISA Allowances — gov.uk</t>
  </si>
  <si>
    <t>gov.uk/individual-savings-accounts</t>
  </si>
  <si>
    <t>Pension guidance — MoneyHelper</t>
  </si>
  <si>
    <t>moneyhelper.org.uk/en/pensions-and-retirement</t>
  </si>
  <si>
    <t>Recommended Reading</t>
  </si>
  <si>
    <t>The Richest Man in Babylon</t>
  </si>
  <si>
    <t>George S. Clason</t>
  </si>
  <si>
    <t>The Total Money Makeover</t>
  </si>
  <si>
    <t>Dave Ramsey</t>
  </si>
  <si>
    <t>Your Money or Your Life</t>
  </si>
  <si>
    <t>Vicki Robin &amp; Joe Dominguez</t>
  </si>
  <si>
    <t>Christian Finance Academy - Resources</t>
  </si>
  <si>
    <r>
      <t xml:space="preserve">✦  YOUR NET WORTH  </t>
    </r>
    <r>
      <rPr>
        <b/>
        <sz val="14"/>
        <color rgb="FFFFFFFF"/>
        <rFont val="Inter"/>
      </rPr>
      <t>✦</t>
    </r>
  </si>
  <si>
    <t>Savings Account</t>
  </si>
  <si>
    <t>SIPP Contribution</t>
  </si>
  <si>
    <t>2026 Total</t>
  </si>
  <si>
    <t>2026</t>
  </si>
  <si>
    <t>The content in this file was created by the original creator (Tom Lawrence from Christian Finance Academy).</t>
  </si>
  <si>
    <t>The workbook and any sheets within must be accompanied by the following copyright notice: Christian Finance Academy ©.</t>
  </si>
  <si>
    <t>Disclaimer: use this workbook at your own risk. Christian Finance Academy offers no guarantee that this file is free from errors. You should do your own due dilligence to ensure it meets your needs.</t>
  </si>
  <si>
    <t>Sum of Saved</t>
  </si>
  <si>
    <t>Sum of Goal</t>
  </si>
  <si>
    <t>Account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</si>
</sst>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8" formatCode="&quot;£&quot;#,##0.00;[Red]\-&quot;£&quot;#,##0.00"/>
    <numFmt numFmtId="164" formatCode="[$-F800]dddd\,\ mmmm\ dd\,\ yyyy"/>
    <numFmt numFmtId="165" formatCode="@*."/>
    <numFmt numFmtId="166" formatCode="&quot;£&quot;#,##0.00"/>
    <numFmt numFmtId="167" formatCode="&quot;£&quot;#,##0_);\(&quot;£&quot;#,##0\)"/>
    <numFmt numFmtId="168" formatCode="\£#,##0"/>
    <numFmt numFmtId="169" formatCode="0.0%"/>
    <numFmt numFmtId="170" formatCode="\£#,##0.00"/>
    <numFmt numFmtId="171" formatCode="mmm\-yyyy"/>
    <numFmt numFmtId="172" formatCode="0&quot; mths&quot;"/>
    <numFmt numFmtId="173" formatCode="0&quot; yrs&quot;"/>
    <numFmt numFmtId="174" formatCode="0.000%"/>
    <numFmt numFmtId="175" formatCode="_-&quot;£&quot;* #,##0_-;\-&quot;£&quot;* #,##0_-;_-&quot;£&quot;* &quot;-&quot;??_-;_-@_-"/>
  </numFmts>
  <fonts count="53">
    <font>
      <sz val="11"/>
      <color theme="1"/>
      <name val="Aptos Narrow"/>
      <family val="2"/>
      <scheme val="minor"/>
    </font>
    <font>
      <b/>
      <sz val="11"/>
      <color theme="1"/>
      <name val="Aptos Narrow"/>
      <family val="2"/>
      <scheme val="minor"/>
    </font>
    <font>
      <sz val="11"/>
      <color theme="0"/>
      <name val="Aptos Narrow"/>
      <family val="2"/>
      <scheme val="minor"/>
    </font>
    <font>
      <sz val="11"/>
      <color theme="7"/>
      <name val="Aptos Narrow"/>
      <family val="2"/>
      <scheme val="minor"/>
    </font>
    <font>
      <sz val="26"/>
      <color theme="0"/>
      <name val="Aptos Narrow"/>
      <family val="2"/>
      <scheme val="minor"/>
    </font>
    <font>
      <sz val="8"/>
      <name val="Aptos Narrow"/>
      <family val="2"/>
      <scheme val="minor"/>
    </font>
    <font>
      <sz val="16"/>
      <color theme="7"/>
      <name val="Aptos Narrow"/>
      <family val="2"/>
      <scheme val="minor"/>
    </font>
    <font>
      <sz val="26"/>
      <color theme="6"/>
      <name val="Aptos Narrow"/>
      <family val="2"/>
      <scheme val="minor"/>
    </font>
    <font>
      <sz val="11"/>
      <color theme="6"/>
      <name val="Aptos Narrow"/>
      <family val="2"/>
      <scheme val="minor"/>
    </font>
    <font>
      <sz val="26"/>
      <color theme="1"/>
      <name val="Aptos Narrow"/>
      <family val="2"/>
      <scheme val="minor"/>
    </font>
    <font>
      <sz val="24"/>
      <color theme="9" tint="-0.499984740745262"/>
      <name val="Aptos Narrow"/>
      <family val="2"/>
      <scheme val="minor"/>
    </font>
    <font>
      <sz val="11"/>
      <color theme="1" tint="0.499984740745262"/>
      <name val="Aptos Narrow"/>
      <family val="2"/>
      <scheme val="minor"/>
    </font>
    <font>
      <sz val="26"/>
      <color theme="1" tint="0.499984740745262"/>
      <name val="Aptos Narrow"/>
      <family val="2"/>
      <scheme val="minor"/>
    </font>
    <font>
      <sz val="14"/>
      <name val="Aptos Narrow"/>
      <family val="2"/>
      <scheme val="minor"/>
    </font>
    <font>
      <b/>
      <sz val="14"/>
      <name val="Aptos Narrow"/>
      <family val="2"/>
      <scheme val="minor"/>
    </font>
    <font>
      <sz val="28"/>
      <color theme="0"/>
      <name val="Segoe UI Light"/>
      <family val="2"/>
    </font>
    <font>
      <u/>
      <sz val="11"/>
      <color theme="10"/>
      <name val="Aptos Narrow"/>
      <family val="2"/>
      <scheme val="minor"/>
    </font>
    <font>
      <b/>
      <sz val="11"/>
      <color theme="0"/>
      <name val="Aptos Narrow"/>
      <family val="2"/>
      <scheme val="minor"/>
    </font>
    <font>
      <sz val="11"/>
      <color theme="1"/>
      <name val="Aptos Narrow"/>
      <family val="2"/>
      <scheme val="minor"/>
    </font>
    <font>
      <sz val="11"/>
      <color theme="1"/>
      <name val="Aptos Narrow"/>
      <family val="2"/>
      <charset val="1"/>
    </font>
    <font>
      <i/>
      <sz val="9"/>
      <color rgb="FF0F6E56"/>
      <name val="Inter"/>
      <charset val="1"/>
    </font>
    <font>
      <sz val="10"/>
      <color rgb="FF854F0B"/>
      <name val="Inter"/>
      <charset val="1"/>
    </font>
    <font>
      <sz val="10"/>
      <color rgb="FF444441"/>
      <name val="Inter"/>
      <charset val="1"/>
    </font>
    <font>
      <sz val="9"/>
      <color rgb="FF444441"/>
      <name val="Inter"/>
      <charset val="1"/>
    </font>
    <font>
      <sz val="10"/>
      <color rgb="FFFFFFFF"/>
      <name val="Inter"/>
      <charset val="1"/>
    </font>
    <font>
      <i/>
      <sz val="9"/>
      <color rgb="FF444441"/>
      <name val="Inter"/>
      <charset val="1"/>
    </font>
    <font>
      <sz val="11"/>
      <color rgb="FF1A6B52"/>
      <name val="Inter"/>
      <charset val="1"/>
    </font>
    <font>
      <sz val="10"/>
      <color rgb="FF1C2B26"/>
      <name val="Inter"/>
      <charset val="1"/>
    </font>
    <font>
      <i/>
      <sz val="9"/>
      <color rgb="FF854F0B"/>
      <name val="Inter"/>
      <charset val="1"/>
    </font>
    <font>
      <sz val="11"/>
      <color rgb="FFFFFFFF"/>
      <name val="Inter"/>
      <charset val="1"/>
    </font>
    <font>
      <sz val="26"/>
      <color rgb="FFFFFFFF"/>
      <name val="Aptos Narrow"/>
      <family val="2"/>
      <scheme val="minor"/>
    </font>
    <font>
      <b/>
      <sz val="9"/>
      <color rgb="FF444441"/>
      <name val="Inter"/>
    </font>
    <font>
      <sz val="9"/>
      <color rgb="FF1C2B26"/>
      <name val="Inter"/>
      <charset val="1"/>
    </font>
    <font>
      <sz val="9"/>
      <color rgb="FFFFFFFF"/>
      <name val="Inter"/>
      <charset val="1"/>
    </font>
    <font>
      <sz val="13"/>
      <color rgb="FF1A6B52"/>
      <name val="Inter"/>
      <charset val="1"/>
    </font>
    <font>
      <sz val="9"/>
      <color rgb="FF0F6E56"/>
      <name val="Inter"/>
      <charset val="1"/>
    </font>
    <font>
      <sz val="10"/>
      <color rgb="FF1A6B52"/>
      <name val="Inter"/>
      <charset val="1"/>
    </font>
    <font>
      <i/>
      <sz val="8"/>
      <color rgb="FF444441"/>
      <name val="Inter"/>
      <charset val="1"/>
    </font>
    <font>
      <sz val="11"/>
      <color rgb="FF854F0B"/>
      <name val="Inter"/>
      <charset val="1"/>
    </font>
    <font>
      <b/>
      <sz val="10"/>
      <color rgb="FFFFFFFF"/>
      <name val="Inter"/>
    </font>
    <font>
      <sz val="11"/>
      <color theme="1"/>
      <name val="Calibri"/>
      <family val="2"/>
      <charset val="1"/>
    </font>
    <font>
      <sz val="8"/>
      <color rgb="FF444441"/>
      <name val="Inter"/>
      <charset val="1"/>
    </font>
    <font>
      <sz val="9"/>
      <color rgb="FF854F0B"/>
      <name val="Inter"/>
      <charset val="1"/>
    </font>
    <font>
      <sz val="9"/>
      <color rgb="FF1A6B52"/>
      <name val="Inter"/>
      <charset val="1"/>
    </font>
    <font>
      <b/>
      <sz val="10"/>
      <color rgb="FF1A6B52"/>
      <name val="Inter"/>
    </font>
    <font>
      <b/>
      <sz val="10"/>
      <color rgb="FF854F0B"/>
      <name val="Inter"/>
    </font>
    <font>
      <sz val="8"/>
      <color rgb="FF854F0B"/>
      <name val="Inter"/>
      <charset val="1"/>
    </font>
    <font>
      <sz val="8"/>
      <color rgb="FF0F6E56"/>
      <name val="Inter"/>
      <charset val="1"/>
    </font>
    <font>
      <sz val="8"/>
      <color rgb="FFFFFFFF"/>
      <name val="Inter"/>
      <charset val="1"/>
    </font>
    <font>
      <sz val="14"/>
      <color theme="1"/>
      <name val="Calibri"/>
      <family val="2"/>
    </font>
    <font>
      <b/>
      <sz val="10"/>
      <color rgb="FF1A6B52"/>
      <name val="Inter"/>
      <charset val="1"/>
    </font>
    <font>
      <sz val="14"/>
      <color rgb="FFFFFFFF"/>
      <name val="Inter"/>
    </font>
    <font>
      <b/>
      <sz val="14"/>
      <color rgb="FFFFFFFF"/>
      <name val="Inter"/>
    </font>
  </fonts>
  <fills count="29">
    <fill>
      <patternFill patternType="none"/>
    </fill>
    <fill>
      <patternFill patternType="gray125"/>
    </fill>
    <fill>
      <patternFill patternType="solid">
        <fgColor theme="8"/>
        <bgColor indexed="64"/>
      </patternFill>
    </fill>
    <fill>
      <patternFill patternType="solid">
        <fgColor theme="7" tint="0.79998168889431442"/>
        <bgColor indexed="64"/>
      </patternFill>
    </fill>
    <fill>
      <patternFill patternType="solid">
        <fgColor theme="6"/>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0F5511"/>
        <bgColor indexed="64"/>
      </patternFill>
    </fill>
    <fill>
      <patternFill patternType="solid">
        <fgColor rgb="FF7030A0"/>
        <bgColor theme="8"/>
      </patternFill>
    </fill>
    <fill>
      <patternFill patternType="solid">
        <fgColor rgb="FF7030A0"/>
        <bgColor indexed="64"/>
      </patternFill>
    </fill>
    <fill>
      <patternFill patternType="solid">
        <fgColor theme="5"/>
        <bgColor theme="5"/>
      </patternFill>
    </fill>
    <fill>
      <patternFill patternType="solid">
        <fgColor theme="5" tint="0.79998168889431442"/>
        <bgColor theme="5" tint="0.79998168889431442"/>
      </patternFill>
    </fill>
    <fill>
      <patternFill patternType="solid">
        <fgColor theme="5" tint="0.39997558519241921"/>
        <bgColor indexed="64"/>
      </patternFill>
    </fill>
    <fill>
      <patternFill patternType="solid">
        <fgColor theme="7" tint="0.59999389629810485"/>
        <bgColor indexed="64"/>
      </patternFill>
    </fill>
    <fill>
      <patternFill patternType="solid">
        <fgColor rgb="FFE6F5F0"/>
        <bgColor rgb="FFF2F2F2"/>
      </patternFill>
    </fill>
    <fill>
      <patternFill patternType="solid">
        <fgColor rgb="FFFEF7E6"/>
        <bgColor rgb="FFF7F5F0"/>
      </patternFill>
    </fill>
    <fill>
      <patternFill patternType="solid">
        <fgColor rgb="FFFFFFFF"/>
        <bgColor rgb="FFF7F5F0"/>
      </patternFill>
    </fill>
    <fill>
      <patternFill patternType="solid">
        <fgColor rgb="FF1A6B52"/>
        <bgColor rgb="FF0F6E56"/>
      </patternFill>
    </fill>
    <fill>
      <patternFill patternType="solid">
        <fgColor rgb="FFF7F5F0"/>
        <bgColor rgb="FFF2F2F2"/>
      </patternFill>
    </fill>
    <fill>
      <patternFill patternType="solid">
        <fgColor rgb="FF854F0B"/>
        <bgColor rgb="FF674D26"/>
      </patternFill>
    </fill>
    <fill>
      <patternFill patternType="solid">
        <fgColor rgb="FF1C2B26"/>
        <bgColor rgb="FF404040"/>
      </patternFill>
    </fill>
    <fill>
      <patternFill patternType="solid">
        <fgColor rgb="FF0F6E56"/>
        <bgColor rgb="FF1A6B52"/>
      </patternFill>
    </fill>
    <fill>
      <patternFill patternType="solid">
        <fgColor rgb="FFF7F5F0"/>
        <bgColor rgb="FFFEF7E6"/>
      </patternFill>
    </fill>
    <fill>
      <patternFill patternType="solid">
        <fgColor rgb="FF854F0B"/>
        <bgColor rgb="FF808000"/>
      </patternFill>
    </fill>
    <fill>
      <patternFill patternType="solid">
        <fgColor rgb="FF1C2B26"/>
        <bgColor rgb="FF003300"/>
      </patternFill>
    </fill>
    <fill>
      <patternFill patternType="solid">
        <fgColor rgb="FFE6F5F0"/>
        <bgColor rgb="FFF0F0F0"/>
      </patternFill>
    </fill>
    <fill>
      <patternFill patternType="solid">
        <fgColor rgb="FF006600"/>
        <bgColor rgb="FF0F6E56"/>
      </patternFill>
    </fill>
    <fill>
      <patternFill patternType="solid">
        <fgColor rgb="FFFFFF00"/>
        <bgColor indexed="64"/>
      </patternFill>
    </fill>
    <fill>
      <patternFill patternType="solid">
        <fgColor rgb="FF0070C0"/>
        <bgColor rgb="FF0F6E56"/>
      </patternFill>
    </fill>
  </fills>
  <borders count="11">
    <border>
      <left/>
      <right/>
      <top/>
      <bottom/>
      <diagonal/>
    </border>
    <border>
      <left/>
      <right/>
      <top/>
      <bottom style="thin">
        <color indexed="64"/>
      </bottom>
      <diagonal/>
    </border>
    <border>
      <left/>
      <right/>
      <top/>
      <bottom style="thick">
        <color theme="6"/>
      </bottom>
      <diagonal/>
    </border>
    <border>
      <left/>
      <right/>
      <top/>
      <bottom style="thick">
        <color theme="9" tint="-0.499984740745262"/>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top style="thin">
        <color theme="5" tint="0.39997558519241921"/>
      </top>
      <bottom style="thin">
        <color theme="5" tint="0.39997558519241921"/>
      </bottom>
      <diagonal/>
    </border>
    <border>
      <left/>
      <right/>
      <top style="thin">
        <color theme="5"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0" fontId="16" fillId="0" borderId="0" applyNumberFormat="0" applyFill="0" applyBorder="0" applyAlignment="0" applyProtection="0"/>
    <xf numFmtId="9" fontId="18" fillId="0" borderId="0" applyFont="0" applyFill="0" applyBorder="0" applyAlignment="0" applyProtection="0"/>
    <xf numFmtId="0" fontId="19" fillId="0" borderId="0"/>
    <xf numFmtId="0" fontId="40" fillId="0" borderId="0"/>
  </cellStyleXfs>
  <cellXfs count="208">
    <xf numFmtId="0" fontId="0" fillId="0" borderId="0" xfId="0"/>
    <xf numFmtId="0" fontId="1" fillId="0" borderId="1" xfId="0" applyFont="1" applyBorder="1"/>
    <xf numFmtId="14"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3" fontId="0" fillId="0" borderId="0" xfId="0" applyNumberFormat="1"/>
    <xf numFmtId="0" fontId="0" fillId="0" borderId="0" xfId="0" applyAlignment="1">
      <alignment horizontal="right"/>
    </xf>
    <xf numFmtId="0" fontId="3" fillId="0" borderId="0" xfId="0" applyFont="1"/>
    <xf numFmtId="0" fontId="3" fillId="0" borderId="0" xfId="0" applyFont="1" applyAlignment="1">
      <alignment horizontal="left" vertical="center"/>
    </xf>
    <xf numFmtId="0" fontId="0" fillId="2" borderId="0" xfId="0" applyFill="1"/>
    <xf numFmtId="0" fontId="4" fillId="2" borderId="0" xfId="0" applyFont="1" applyFill="1" applyAlignment="1">
      <alignment horizontal="left" vertical="center" indent="8"/>
    </xf>
    <xf numFmtId="0" fontId="0" fillId="3" borderId="0" xfId="0" applyFill="1"/>
    <xf numFmtId="0" fontId="0" fillId="3" borderId="0" xfId="0" applyFill="1" applyAlignment="1">
      <alignment horizontal="centerContinuous"/>
    </xf>
    <xf numFmtId="0" fontId="7" fillId="3" borderId="2" xfId="0" applyFont="1" applyFill="1" applyBorder="1" applyAlignment="1">
      <alignment horizontal="left" vertical="center" indent="7"/>
    </xf>
    <xf numFmtId="0" fontId="8" fillId="3" borderId="2" xfId="0" applyFont="1" applyFill="1" applyBorder="1"/>
    <xf numFmtId="164" fontId="0" fillId="0" borderId="0" xfId="0" applyNumberFormat="1"/>
    <xf numFmtId="0" fontId="2" fillId="4" borderId="0" xfId="0" applyFont="1" applyFill="1"/>
    <xf numFmtId="164" fontId="4" fillId="4" borderId="0" xfId="0" applyNumberFormat="1" applyFont="1" applyFill="1" applyAlignment="1">
      <alignment vertical="center"/>
    </xf>
    <xf numFmtId="4" fontId="0" fillId="0" borderId="0" xfId="0" applyNumberFormat="1"/>
    <xf numFmtId="0" fontId="10" fillId="5" borderId="3" xfId="0" applyFont="1" applyFill="1" applyBorder="1" applyAlignment="1">
      <alignment vertical="center"/>
    </xf>
    <xf numFmtId="0" fontId="0" fillId="5" borderId="3" xfId="0" applyFill="1" applyBorder="1"/>
    <xf numFmtId="0" fontId="6" fillId="3" borderId="0" xfId="0" applyFont="1" applyFill="1" applyAlignment="1">
      <alignment horizontal="left"/>
    </xf>
    <xf numFmtId="0" fontId="9" fillId="6" borderId="0" xfId="0" applyFont="1" applyFill="1" applyAlignment="1">
      <alignment horizontal="left" vertical="center" indent="8"/>
    </xf>
    <xf numFmtId="0" fontId="0" fillId="6" borderId="0" xfId="0" applyFill="1"/>
    <xf numFmtId="0" fontId="11" fillId="0" borderId="0" xfId="0" applyFont="1"/>
    <xf numFmtId="0" fontId="11" fillId="0" borderId="0" xfId="0" applyFont="1" applyAlignment="1">
      <alignment vertical="center"/>
    </xf>
    <xf numFmtId="0" fontId="12" fillId="6" borderId="0" xfId="0" applyFont="1" applyFill="1" applyAlignment="1">
      <alignment horizontal="left" vertical="center" indent="8"/>
    </xf>
    <xf numFmtId="0" fontId="1" fillId="0" borderId="0" xfId="0" applyFont="1"/>
    <xf numFmtId="0" fontId="13" fillId="0" borderId="0" xfId="0" applyFont="1" applyAlignment="1">
      <alignment vertical="center"/>
    </xf>
    <xf numFmtId="0" fontId="13" fillId="0" borderId="0" xfId="0" applyFont="1"/>
    <xf numFmtId="0" fontId="15" fillId="7" borderId="0" xfId="0" applyFont="1" applyFill="1" applyAlignment="1">
      <alignment vertical="center"/>
    </xf>
    <xf numFmtId="165" fontId="0" fillId="0" borderId="0" xfId="0" applyNumberFormat="1" applyAlignment="1">
      <alignment horizontal="left" indent="1"/>
    </xf>
    <xf numFmtId="0" fontId="16" fillId="0" borderId="0" xfId="1"/>
    <xf numFmtId="0" fontId="10" fillId="5" borderId="3" xfId="0" applyFont="1" applyFill="1" applyBorder="1" applyAlignment="1">
      <alignment horizontal="left" vertical="center" indent="4"/>
    </xf>
    <xf numFmtId="166" fontId="17" fillId="8" borderId="5" xfId="0" applyNumberFormat="1" applyFont="1" applyFill="1" applyBorder="1"/>
    <xf numFmtId="0" fontId="17" fillId="8" borderId="4" xfId="0" applyFont="1" applyFill="1" applyBorder="1"/>
    <xf numFmtId="8" fontId="0" fillId="0" borderId="0" xfId="0" applyNumberFormat="1"/>
    <xf numFmtId="0" fontId="0" fillId="9" borderId="0" xfId="0" applyFill="1"/>
    <xf numFmtId="0" fontId="4" fillId="9" borderId="0" xfId="0" applyFont="1" applyFill="1" applyAlignment="1">
      <alignment horizontal="left" vertical="center" indent="8"/>
    </xf>
    <xf numFmtId="0" fontId="4" fillId="0" borderId="0" xfId="0" applyFont="1" applyAlignment="1">
      <alignment horizontal="left" vertical="center" indent="8"/>
    </xf>
    <xf numFmtId="0" fontId="0" fillId="11" borderId="6" xfId="0" applyFill="1" applyBorder="1"/>
    <xf numFmtId="0" fontId="0" fillId="12" borderId="0" xfId="0" applyFill="1"/>
    <xf numFmtId="0" fontId="0" fillId="13" borderId="0" xfId="0" applyFill="1"/>
    <xf numFmtId="0" fontId="4" fillId="13" borderId="0" xfId="0" applyFont="1" applyFill="1" applyAlignment="1">
      <alignment horizontal="left" vertical="center" indent="6"/>
    </xf>
    <xf numFmtId="10" fontId="0" fillId="0" borderId="0" xfId="0" applyNumberFormat="1"/>
    <xf numFmtId="6" fontId="0" fillId="11" borderId="6" xfId="0" applyNumberFormat="1" applyFill="1" applyBorder="1"/>
    <xf numFmtId="10" fontId="0" fillId="11" borderId="6" xfId="0" applyNumberFormat="1" applyFill="1" applyBorder="1"/>
    <xf numFmtId="167" fontId="0" fillId="0" borderId="0" xfId="0" applyNumberFormat="1"/>
    <xf numFmtId="167" fontId="0" fillId="11" borderId="6" xfId="0" applyNumberFormat="1" applyFill="1" applyBorder="1"/>
    <xf numFmtId="0" fontId="1" fillId="0" borderId="1" xfId="0" applyFont="1" applyBorder="1" applyAlignment="1">
      <alignment horizontal="center"/>
    </xf>
    <xf numFmtId="0" fontId="17" fillId="10" borderId="1" xfId="0" applyFont="1" applyFill="1" applyBorder="1" applyAlignment="1">
      <alignment horizontal="center"/>
    </xf>
    <xf numFmtId="0" fontId="0" fillId="0" borderId="7" xfId="0" applyBorder="1"/>
    <xf numFmtId="6" fontId="0" fillId="0" borderId="7" xfId="0" applyNumberFormat="1" applyBorder="1"/>
    <xf numFmtId="167" fontId="0" fillId="0" borderId="7" xfId="0" applyNumberFormat="1" applyBorder="1"/>
    <xf numFmtId="10" fontId="0" fillId="0" borderId="7" xfId="0" applyNumberFormat="1" applyBorder="1"/>
    <xf numFmtId="10" fontId="0" fillId="11" borderId="6" xfId="2" applyNumberFormat="1" applyFont="1" applyFill="1" applyBorder="1"/>
    <xf numFmtId="10" fontId="0" fillId="0" borderId="7" xfId="2" applyNumberFormat="1" applyFont="1" applyBorder="1"/>
    <xf numFmtId="167" fontId="17" fillId="8" borderId="5" xfId="0" applyNumberFormat="1" applyFont="1" applyFill="1" applyBorder="1"/>
    <xf numFmtId="167" fontId="11" fillId="0" borderId="0" xfId="0" applyNumberFormat="1" applyFont="1"/>
    <xf numFmtId="0" fontId="19" fillId="0" borderId="0" xfId="3"/>
    <xf numFmtId="0" fontId="23" fillId="15" borderId="0" xfId="3" applyFont="1" applyFill="1" applyAlignment="1">
      <alignment horizontal="center" vertical="center"/>
    </xf>
    <xf numFmtId="0" fontId="23" fillId="14" borderId="0" xfId="3" applyFont="1" applyFill="1" applyAlignment="1">
      <alignment horizontal="center" vertical="center"/>
    </xf>
    <xf numFmtId="0" fontId="27" fillId="16" borderId="0" xfId="3" applyFont="1" applyFill="1"/>
    <xf numFmtId="0" fontId="24" fillId="17" borderId="0" xfId="3" applyFont="1" applyFill="1"/>
    <xf numFmtId="168" fontId="19" fillId="18" borderId="0" xfId="3" applyNumberFormat="1" applyFill="1"/>
    <xf numFmtId="0" fontId="19" fillId="16" borderId="0" xfId="3" applyFill="1"/>
    <xf numFmtId="168" fontId="29" fillId="19" borderId="0" xfId="3" applyNumberFormat="1" applyFont="1" applyFill="1" applyAlignment="1">
      <alignment horizontal="right" vertical="center"/>
    </xf>
    <xf numFmtId="0" fontId="24" fillId="19" borderId="0" xfId="3" applyFont="1" applyFill="1"/>
    <xf numFmtId="168" fontId="27" fillId="18" borderId="0" xfId="3" applyNumberFormat="1" applyFont="1" applyFill="1" applyAlignment="1">
      <alignment horizontal="right" vertical="center"/>
    </xf>
    <xf numFmtId="0" fontId="23" fillId="16" borderId="0" xfId="3" applyFont="1" applyFill="1"/>
    <xf numFmtId="168" fontId="29" fillId="17" borderId="0" xfId="3" applyNumberFormat="1" applyFont="1" applyFill="1" applyAlignment="1">
      <alignment horizontal="right" vertical="center"/>
    </xf>
    <xf numFmtId="0" fontId="24" fillId="17" borderId="0" xfId="3" applyFont="1" applyFill="1" applyAlignment="1">
      <alignment horizontal="left" vertical="center"/>
    </xf>
    <xf numFmtId="9" fontId="0" fillId="0" borderId="0" xfId="2" applyFont="1"/>
    <xf numFmtId="0" fontId="0" fillId="0" borderId="0" xfId="0" applyAlignment="1">
      <alignment vertical="center" wrapText="1"/>
    </xf>
    <xf numFmtId="0" fontId="4" fillId="12" borderId="0" xfId="0" applyFont="1" applyFill="1" applyAlignment="1">
      <alignment horizontal="left" vertical="center"/>
    </xf>
    <xf numFmtId="170" fontId="23" fillId="16" borderId="0" xfId="3" applyNumberFormat="1" applyFont="1" applyFill="1" applyAlignment="1">
      <alignment horizontal="right" vertical="center"/>
    </xf>
    <xf numFmtId="171" fontId="23" fillId="16" borderId="0" xfId="3" applyNumberFormat="1" applyFont="1" applyFill="1" applyAlignment="1">
      <alignment horizontal="left" vertical="center"/>
    </xf>
    <xf numFmtId="1" fontId="23" fillId="16" borderId="0" xfId="3" applyNumberFormat="1" applyFont="1" applyFill="1" applyAlignment="1">
      <alignment horizontal="right" vertical="center"/>
    </xf>
    <xf numFmtId="170" fontId="23" fillId="15" borderId="0" xfId="3" applyNumberFormat="1" applyFont="1" applyFill="1" applyAlignment="1">
      <alignment horizontal="right" vertical="center"/>
    </xf>
    <xf numFmtId="171" fontId="23" fillId="15" borderId="0" xfId="3" applyNumberFormat="1" applyFont="1" applyFill="1" applyAlignment="1">
      <alignment horizontal="left" vertical="center"/>
    </xf>
    <xf numFmtId="1" fontId="23" fillId="15" borderId="0" xfId="3" applyNumberFormat="1" applyFont="1" applyFill="1" applyAlignment="1">
      <alignment horizontal="right" vertical="center"/>
    </xf>
    <xf numFmtId="170" fontId="23" fillId="14" borderId="0" xfId="3" applyNumberFormat="1" applyFont="1" applyFill="1" applyAlignment="1">
      <alignment horizontal="right" vertical="center"/>
    </xf>
    <xf numFmtId="171" fontId="23" fillId="14" borderId="0" xfId="3" applyNumberFormat="1" applyFont="1" applyFill="1" applyAlignment="1">
      <alignment horizontal="left" vertical="center"/>
    </xf>
    <xf numFmtId="1" fontId="23" fillId="14" borderId="0" xfId="3" applyNumberFormat="1" applyFont="1" applyFill="1" applyAlignment="1">
      <alignment horizontal="right" vertical="center"/>
    </xf>
    <xf numFmtId="170" fontId="32" fillId="16" borderId="0" xfId="3" applyNumberFormat="1" applyFont="1" applyFill="1" applyAlignment="1">
      <alignment horizontal="right" vertical="center"/>
    </xf>
    <xf numFmtId="171" fontId="32" fillId="16" borderId="0" xfId="3" applyNumberFormat="1" applyFont="1" applyFill="1" applyAlignment="1">
      <alignment horizontal="left" vertical="center"/>
    </xf>
    <xf numFmtId="1" fontId="32" fillId="16" borderId="0" xfId="3" applyNumberFormat="1" applyFont="1" applyFill="1" applyAlignment="1">
      <alignment horizontal="right" vertical="center"/>
    </xf>
    <xf numFmtId="170" fontId="32" fillId="15" borderId="0" xfId="3" applyNumberFormat="1" applyFont="1" applyFill="1" applyAlignment="1">
      <alignment horizontal="right" vertical="center"/>
    </xf>
    <xf numFmtId="171" fontId="32" fillId="15" borderId="0" xfId="3" applyNumberFormat="1" applyFont="1" applyFill="1" applyAlignment="1">
      <alignment horizontal="left" vertical="center"/>
    </xf>
    <xf numFmtId="1" fontId="32" fillId="15" borderId="0" xfId="3" applyNumberFormat="1" applyFont="1" applyFill="1" applyAlignment="1">
      <alignment horizontal="right" vertical="center"/>
    </xf>
    <xf numFmtId="170" fontId="32" fillId="14" borderId="0" xfId="3" applyNumberFormat="1" applyFont="1" applyFill="1" applyAlignment="1">
      <alignment horizontal="right" vertical="center"/>
    </xf>
    <xf numFmtId="171" fontId="32" fillId="14" borderId="0" xfId="3" applyNumberFormat="1" applyFont="1" applyFill="1" applyAlignment="1">
      <alignment horizontal="left" vertical="center"/>
    </xf>
    <xf numFmtId="1" fontId="32" fillId="14" borderId="0" xfId="3" applyNumberFormat="1" applyFont="1" applyFill="1" applyAlignment="1">
      <alignment horizontal="right" vertical="center"/>
    </xf>
    <xf numFmtId="0" fontId="33" fillId="19" borderId="0" xfId="3" applyFont="1" applyFill="1" applyAlignment="1">
      <alignment horizontal="center" vertical="center"/>
    </xf>
    <xf numFmtId="0" fontId="33" fillId="17" borderId="0" xfId="3" applyFont="1" applyFill="1" applyAlignment="1">
      <alignment horizontal="center" vertical="center"/>
    </xf>
    <xf numFmtId="168" fontId="34" fillId="14" borderId="0" xfId="3" applyNumberFormat="1" applyFont="1" applyFill="1" applyAlignment="1">
      <alignment horizontal="right" vertical="center"/>
    </xf>
    <xf numFmtId="0" fontId="35" fillId="14" borderId="0" xfId="3" applyFont="1" applyFill="1" applyAlignment="1">
      <alignment horizontal="left" vertical="center"/>
    </xf>
    <xf numFmtId="169" fontId="21" fillId="15" borderId="0" xfId="3" applyNumberFormat="1" applyFont="1" applyFill="1" applyAlignment="1">
      <alignment horizontal="right" vertical="center"/>
    </xf>
    <xf numFmtId="0" fontId="23" fillId="18" borderId="0" xfId="3" applyFont="1" applyFill="1"/>
    <xf numFmtId="169" fontId="36" fillId="14" borderId="0" xfId="3" applyNumberFormat="1" applyFont="1" applyFill="1" applyAlignment="1">
      <alignment horizontal="right" vertical="center"/>
    </xf>
    <xf numFmtId="0" fontId="23" fillId="18" borderId="0" xfId="3" applyFont="1" applyFill="1" applyAlignment="1">
      <alignment horizontal="left" vertical="center"/>
    </xf>
    <xf numFmtId="168" fontId="21" fillId="15" borderId="0" xfId="3" applyNumberFormat="1" applyFont="1" applyFill="1" applyAlignment="1">
      <alignment horizontal="right" vertical="center"/>
    </xf>
    <xf numFmtId="168" fontId="36" fillId="14" borderId="0" xfId="3" applyNumberFormat="1" applyFont="1" applyFill="1" applyAlignment="1">
      <alignment horizontal="right" vertical="center"/>
    </xf>
    <xf numFmtId="0" fontId="23" fillId="16" borderId="0" xfId="3" applyFont="1" applyFill="1" applyAlignment="1">
      <alignment horizontal="left" vertical="center"/>
    </xf>
    <xf numFmtId="49" fontId="21" fillId="15" borderId="0" xfId="3" applyNumberFormat="1" applyFont="1" applyFill="1" applyAlignment="1">
      <alignment horizontal="right" vertical="center"/>
    </xf>
    <xf numFmtId="49" fontId="36" fillId="14" borderId="0" xfId="3" applyNumberFormat="1" applyFont="1" applyFill="1" applyAlignment="1">
      <alignment horizontal="right" vertical="center"/>
    </xf>
    <xf numFmtId="170" fontId="21" fillId="15" borderId="0" xfId="3" applyNumberFormat="1" applyFont="1" applyFill="1" applyAlignment="1">
      <alignment horizontal="right" vertical="center"/>
    </xf>
    <xf numFmtId="170" fontId="36" fillId="14" borderId="0" xfId="3" applyNumberFormat="1" applyFont="1" applyFill="1" applyAlignment="1">
      <alignment horizontal="right" vertical="center"/>
    </xf>
    <xf numFmtId="0" fontId="36" fillId="18" borderId="0" xfId="3" applyFont="1" applyFill="1" applyAlignment="1">
      <alignment horizontal="right" vertical="center"/>
    </xf>
    <xf numFmtId="172" fontId="36" fillId="16" borderId="0" xfId="3" applyNumberFormat="1" applyFont="1" applyFill="1" applyAlignment="1">
      <alignment horizontal="right" vertical="center"/>
    </xf>
    <xf numFmtId="168" fontId="36" fillId="18" borderId="0" xfId="3" applyNumberFormat="1" applyFont="1" applyFill="1" applyAlignment="1">
      <alignment horizontal="right" vertical="center"/>
    </xf>
    <xf numFmtId="168" fontId="36" fillId="16" borderId="0" xfId="3" applyNumberFormat="1" applyFont="1" applyFill="1" applyAlignment="1">
      <alignment horizontal="right" vertical="center"/>
    </xf>
    <xf numFmtId="169" fontId="27" fillId="18" borderId="0" xfId="3" applyNumberFormat="1" applyFont="1" applyFill="1" applyAlignment="1">
      <alignment horizontal="right" vertical="center"/>
    </xf>
    <xf numFmtId="0" fontId="23" fillId="15" borderId="0" xfId="3" applyFont="1" applyFill="1" applyAlignment="1">
      <alignment horizontal="left" vertical="center"/>
    </xf>
    <xf numFmtId="0" fontId="23" fillId="14" borderId="0" xfId="3" applyFont="1" applyFill="1" applyAlignment="1">
      <alignment horizontal="left" vertical="center"/>
    </xf>
    <xf numFmtId="49" fontId="27" fillId="16" borderId="0" xfId="3" applyNumberFormat="1" applyFont="1" applyFill="1" applyAlignment="1">
      <alignment horizontal="right" vertical="center"/>
    </xf>
    <xf numFmtId="172" fontId="27" fillId="18" borderId="0" xfId="3" applyNumberFormat="1" applyFont="1" applyFill="1" applyAlignment="1">
      <alignment horizontal="right" vertical="center"/>
    </xf>
    <xf numFmtId="169" fontId="27" fillId="16" borderId="0" xfId="3" applyNumberFormat="1" applyFont="1" applyFill="1" applyAlignment="1">
      <alignment horizontal="right" vertical="center"/>
    </xf>
    <xf numFmtId="168" fontId="27" fillId="16" borderId="0" xfId="3" applyNumberFormat="1" applyFont="1" applyFill="1" applyAlignment="1">
      <alignment horizontal="right" vertical="center"/>
    </xf>
    <xf numFmtId="170" fontId="27" fillId="18" borderId="0" xfId="3" applyNumberFormat="1" applyFont="1" applyFill="1" applyAlignment="1">
      <alignment horizontal="right" vertical="center"/>
    </xf>
    <xf numFmtId="1" fontId="38" fillId="15" borderId="0" xfId="3" applyNumberFormat="1" applyFont="1" applyFill="1" applyAlignment="1">
      <alignment horizontal="right" vertical="center"/>
    </xf>
    <xf numFmtId="1" fontId="26" fillId="14" borderId="0" xfId="3" applyNumberFormat="1" applyFont="1" applyFill="1" applyAlignment="1">
      <alignment horizontal="right" vertical="center"/>
    </xf>
    <xf numFmtId="168" fontId="38" fillId="15" borderId="0" xfId="3" applyNumberFormat="1" applyFont="1" applyFill="1" applyAlignment="1">
      <alignment horizontal="right" vertical="center"/>
    </xf>
    <xf numFmtId="168" fontId="26" fillId="14" borderId="0" xfId="3" applyNumberFormat="1" applyFont="1" applyFill="1" applyAlignment="1">
      <alignment horizontal="right" vertical="center"/>
    </xf>
    <xf numFmtId="174" fontId="38" fillId="15" borderId="0" xfId="3" applyNumberFormat="1" applyFont="1" applyFill="1" applyAlignment="1">
      <alignment horizontal="right" vertical="center"/>
    </xf>
    <xf numFmtId="174" fontId="26" fillId="14" borderId="0" xfId="3" applyNumberFormat="1" applyFont="1" applyFill="1" applyAlignment="1">
      <alignment horizontal="right" vertical="center"/>
    </xf>
    <xf numFmtId="173" fontId="26" fillId="14" borderId="8" xfId="3" applyNumberFormat="1" applyFont="1" applyFill="1" applyBorder="1" applyAlignment="1">
      <alignment horizontal="right" vertical="center"/>
    </xf>
    <xf numFmtId="1" fontId="26" fillId="14" borderId="9" xfId="3" applyNumberFormat="1" applyFont="1" applyFill="1" applyBorder="1" applyAlignment="1">
      <alignment horizontal="right" vertical="center"/>
    </xf>
    <xf numFmtId="49" fontId="36" fillId="14" borderId="10" xfId="3" applyNumberFormat="1" applyFont="1" applyFill="1" applyBorder="1" applyAlignment="1">
      <alignment horizontal="right" vertical="center"/>
    </xf>
    <xf numFmtId="0" fontId="40" fillId="0" borderId="0" xfId="4"/>
    <xf numFmtId="170" fontId="41" fillId="16" borderId="0" xfId="4" applyNumberFormat="1" applyFont="1" applyFill="1" applyAlignment="1">
      <alignment horizontal="right" vertical="center"/>
    </xf>
    <xf numFmtId="1" fontId="41" fillId="16" borderId="0" xfId="4" applyNumberFormat="1" applyFont="1" applyFill="1" applyAlignment="1">
      <alignment horizontal="center" vertical="center"/>
    </xf>
    <xf numFmtId="0" fontId="40" fillId="16" borderId="0" xfId="4" applyFill="1"/>
    <xf numFmtId="0" fontId="33" fillId="17" borderId="0" xfId="4" applyFont="1" applyFill="1" applyAlignment="1">
      <alignment horizontal="left" vertical="center"/>
    </xf>
    <xf numFmtId="0" fontId="27" fillId="22" borderId="0" xfId="4" applyFont="1" applyFill="1" applyAlignment="1">
      <alignment horizontal="left" vertical="center"/>
    </xf>
    <xf numFmtId="168" fontId="27" fillId="16" borderId="0" xfId="4" applyNumberFormat="1" applyFont="1" applyFill="1" applyAlignment="1">
      <alignment horizontal="right" vertical="center"/>
    </xf>
    <xf numFmtId="10" fontId="27" fillId="16" borderId="0" xfId="4" applyNumberFormat="1" applyFont="1" applyFill="1" applyAlignment="1">
      <alignment horizontal="right" vertical="center"/>
    </xf>
    <xf numFmtId="0" fontId="27" fillId="16" borderId="0" xfId="4" applyFont="1" applyFill="1" applyAlignment="1">
      <alignment horizontal="left" vertical="center"/>
    </xf>
    <xf numFmtId="0" fontId="33" fillId="21" borderId="0" xfId="4" applyFont="1" applyFill="1" applyAlignment="1">
      <alignment horizontal="center" vertical="center" wrapText="1"/>
    </xf>
    <xf numFmtId="170" fontId="38" fillId="15" borderId="0" xfId="3" applyNumberFormat="1" applyFont="1" applyFill="1" applyAlignment="1">
      <alignment horizontal="right" vertical="center"/>
    </xf>
    <xf numFmtId="170" fontId="26" fillId="14" borderId="0" xfId="3" applyNumberFormat="1" applyFont="1" applyFill="1" applyAlignment="1">
      <alignment horizontal="right" vertical="center"/>
    </xf>
    <xf numFmtId="168" fontId="21" fillId="15" borderId="0" xfId="4" applyNumberFormat="1" applyFont="1" applyFill="1" applyAlignment="1">
      <alignment horizontal="center" vertical="center"/>
    </xf>
    <xf numFmtId="0" fontId="40" fillId="0" borderId="0" xfId="4" applyAlignment="1">
      <alignment horizontal="center"/>
    </xf>
    <xf numFmtId="172" fontId="21" fillId="15" borderId="0" xfId="4" applyNumberFormat="1" applyFont="1" applyFill="1" applyAlignment="1">
      <alignment horizontal="center" vertical="center"/>
    </xf>
    <xf numFmtId="49" fontId="21" fillId="15" borderId="0" xfId="4" applyNumberFormat="1" applyFont="1" applyFill="1" applyAlignment="1">
      <alignment horizontal="center" vertical="center"/>
    </xf>
    <xf numFmtId="0" fontId="45" fillId="15" borderId="0" xfId="4" applyFont="1" applyFill="1" applyAlignment="1">
      <alignment horizontal="center" vertical="center"/>
    </xf>
    <xf numFmtId="170" fontId="46" fillId="15" borderId="0" xfId="4" applyNumberFormat="1" applyFont="1" applyFill="1" applyAlignment="1">
      <alignment horizontal="right" vertical="center"/>
    </xf>
    <xf numFmtId="17" fontId="41" fillId="16" borderId="0" xfId="4" applyNumberFormat="1" applyFont="1" applyFill="1" applyAlignment="1">
      <alignment horizontal="left" vertical="center"/>
    </xf>
    <xf numFmtId="170" fontId="47" fillId="25" borderId="0" xfId="4" applyNumberFormat="1" applyFont="1" applyFill="1" applyAlignment="1">
      <alignment horizontal="right" vertical="center"/>
    </xf>
    <xf numFmtId="170" fontId="41" fillId="25" borderId="0" xfId="4" applyNumberFormat="1" applyFont="1" applyFill="1" applyAlignment="1">
      <alignment horizontal="right" vertical="center"/>
    </xf>
    <xf numFmtId="17" fontId="41" fillId="25" borderId="0" xfId="4" applyNumberFormat="1" applyFont="1" applyFill="1" applyAlignment="1">
      <alignment horizontal="left" vertical="center"/>
    </xf>
    <xf numFmtId="1" fontId="41" fillId="25" borderId="0" xfId="4" applyNumberFormat="1" applyFont="1" applyFill="1" applyAlignment="1">
      <alignment horizontal="center" vertical="center"/>
    </xf>
    <xf numFmtId="0" fontId="48" fillId="23" borderId="0" xfId="4" applyFont="1" applyFill="1" applyAlignment="1">
      <alignment horizontal="center" vertical="center"/>
    </xf>
    <xf numFmtId="0" fontId="48" fillId="21" borderId="0" xfId="4" applyFont="1" applyFill="1" applyAlignment="1">
      <alignment horizontal="center" vertical="center"/>
    </xf>
    <xf numFmtId="0" fontId="40" fillId="15" borderId="0" xfId="4" applyFill="1"/>
    <xf numFmtId="0" fontId="40" fillId="25" borderId="0" xfId="4" applyFill="1"/>
    <xf numFmtId="0" fontId="24" fillId="16" borderId="0" xfId="4" applyFont="1" applyFill="1" applyAlignment="1">
      <alignment horizontal="left" vertical="center"/>
    </xf>
    <xf numFmtId="168" fontId="36" fillId="25" borderId="0" xfId="4" applyNumberFormat="1" applyFont="1" applyFill="1" applyAlignment="1">
      <alignment horizontal="right" vertical="center"/>
    </xf>
    <xf numFmtId="0" fontId="38" fillId="15" borderId="0" xfId="4" applyFont="1" applyFill="1" applyAlignment="1">
      <alignment horizontal="center" vertical="center"/>
    </xf>
    <xf numFmtId="0" fontId="26" fillId="25" borderId="0" xfId="4" applyFont="1" applyFill="1" applyAlignment="1">
      <alignment horizontal="center" vertical="center"/>
    </xf>
    <xf numFmtId="0" fontId="42" fillId="15" borderId="0" xfId="4" applyFont="1" applyFill="1" applyAlignment="1">
      <alignment horizontal="center" vertical="center" wrapText="1"/>
    </xf>
    <xf numFmtId="0" fontId="43" fillId="25" borderId="0" xfId="4" applyFont="1" applyFill="1" applyAlignment="1">
      <alignment horizontal="center" vertical="center" wrapText="1"/>
    </xf>
    <xf numFmtId="0" fontId="32" fillId="25" borderId="0" xfId="4" applyFont="1" applyFill="1" applyAlignment="1">
      <alignment horizontal="left" vertical="center"/>
    </xf>
    <xf numFmtId="0" fontId="33" fillId="24" borderId="0" xfId="4" applyFont="1" applyFill="1" applyAlignment="1">
      <alignment vertical="center"/>
    </xf>
    <xf numFmtId="0" fontId="37" fillId="25" borderId="0" xfId="4" applyFont="1" applyFill="1" applyAlignment="1">
      <alignment vertical="center"/>
    </xf>
    <xf numFmtId="0" fontId="25" fillId="25" borderId="0" xfId="4" applyFont="1" applyFill="1" applyAlignment="1">
      <alignment vertical="center"/>
    </xf>
    <xf numFmtId="173" fontId="38" fillId="15" borderId="8" xfId="3" applyNumberFormat="1" applyFont="1" applyFill="1" applyBorder="1" applyAlignment="1">
      <alignment horizontal="right" vertical="center"/>
    </xf>
    <xf numFmtId="1" fontId="38" fillId="15" borderId="9" xfId="3" applyNumberFormat="1" applyFont="1" applyFill="1" applyBorder="1" applyAlignment="1">
      <alignment horizontal="right" vertical="center"/>
    </xf>
    <xf numFmtId="49" fontId="21" fillId="15" borderId="10" xfId="3" applyNumberFormat="1" applyFont="1" applyFill="1" applyBorder="1" applyAlignment="1">
      <alignment horizontal="right" vertical="center"/>
    </xf>
    <xf numFmtId="0" fontId="50" fillId="0" borderId="0" xfId="0" applyFont="1"/>
    <xf numFmtId="0" fontId="22" fillId="0" borderId="0" xfId="0" applyFont="1"/>
    <xf numFmtId="0" fontId="42" fillId="15" borderId="0" xfId="4" applyFont="1" applyFill="1" applyAlignment="1">
      <alignment horizontal="left" vertical="center" wrapText="1"/>
    </xf>
    <xf numFmtId="0" fontId="28" fillId="15" borderId="0" xfId="4" applyFont="1" applyFill="1" applyAlignment="1">
      <alignment horizontal="left" vertical="center" wrapText="1"/>
    </xf>
    <xf numFmtId="0" fontId="25" fillId="25" borderId="0" xfId="4" applyFont="1" applyFill="1" applyAlignment="1">
      <alignment horizontal="left" vertical="center" wrapText="1"/>
    </xf>
    <xf numFmtId="0" fontId="24" fillId="17" borderId="0" xfId="4" applyFont="1" applyFill="1" applyAlignment="1">
      <alignment horizontal="left" vertical="center"/>
    </xf>
    <xf numFmtId="0" fontId="29" fillId="24" borderId="0" xfId="4" applyFont="1" applyFill="1" applyAlignment="1">
      <alignment horizontal="left" vertical="center"/>
    </xf>
    <xf numFmtId="0" fontId="22" fillId="22" borderId="0" xfId="4" applyFont="1" applyFill="1" applyAlignment="1">
      <alignment horizontal="center" vertical="center"/>
    </xf>
    <xf numFmtId="0" fontId="44" fillId="25" borderId="0" xfId="4" applyFont="1" applyFill="1" applyAlignment="1">
      <alignment horizontal="center" vertical="center"/>
    </xf>
    <xf numFmtId="0" fontId="43" fillId="25" borderId="0" xfId="4" applyFont="1" applyFill="1" applyAlignment="1">
      <alignment horizontal="left" vertical="center" wrapText="1"/>
    </xf>
    <xf numFmtId="0" fontId="24" fillId="21" borderId="0" xfId="4" applyFont="1" applyFill="1" applyAlignment="1">
      <alignment horizontal="left" vertical="center"/>
    </xf>
    <xf numFmtId="0" fontId="23" fillId="16" borderId="0" xfId="4" applyFont="1" applyFill="1" applyAlignment="1">
      <alignment horizontal="left" vertical="center"/>
    </xf>
    <xf numFmtId="168" fontId="36" fillId="25" borderId="0" xfId="4" applyNumberFormat="1" applyFont="1" applyFill="1" applyAlignment="1">
      <alignment horizontal="center" vertical="center"/>
    </xf>
    <xf numFmtId="0" fontId="23" fillId="22" borderId="0" xfId="4" applyFont="1" applyFill="1" applyAlignment="1">
      <alignment horizontal="left" vertical="center"/>
    </xf>
    <xf numFmtId="172" fontId="36" fillId="25" borderId="0" xfId="4" applyNumberFormat="1" applyFont="1" applyFill="1" applyAlignment="1">
      <alignment horizontal="center" vertical="center"/>
    </xf>
    <xf numFmtId="49" fontId="36" fillId="25" borderId="0" xfId="4" applyNumberFormat="1" applyFont="1" applyFill="1" applyAlignment="1">
      <alignment horizontal="center" vertical="center"/>
    </xf>
    <xf numFmtId="0" fontId="46" fillId="15" borderId="0" xfId="4" applyFont="1" applyFill="1"/>
    <xf numFmtId="0" fontId="24" fillId="24" borderId="0" xfId="4" applyFont="1" applyFill="1" applyAlignment="1">
      <alignment horizontal="left" vertical="center"/>
    </xf>
    <xf numFmtId="0" fontId="37" fillId="25" borderId="0" xfId="4" applyFont="1" applyFill="1" applyAlignment="1">
      <alignment horizontal="left" vertical="center" wrapText="1"/>
    </xf>
    <xf numFmtId="0" fontId="24" fillId="23" borderId="0" xfId="4" applyFont="1" applyFill="1" applyAlignment="1">
      <alignment horizontal="left" vertical="center"/>
    </xf>
    <xf numFmtId="0" fontId="47" fillId="25" borderId="0" xfId="4" applyFont="1" applyFill="1"/>
    <xf numFmtId="0" fontId="24" fillId="21" borderId="0" xfId="3" applyFont="1" applyFill="1" applyAlignment="1">
      <alignment horizontal="left" vertical="center"/>
    </xf>
    <xf numFmtId="0" fontId="20" fillId="14" borderId="0" xfId="3" applyFont="1" applyFill="1" applyAlignment="1">
      <alignment horizontal="left" vertical="center" wrapText="1"/>
    </xf>
    <xf numFmtId="0" fontId="24" fillId="20" borderId="0" xfId="3" applyFont="1" applyFill="1" applyAlignment="1">
      <alignment horizontal="left" vertical="center"/>
    </xf>
    <xf numFmtId="0" fontId="24" fillId="20" borderId="0" xfId="3" applyFont="1" applyFill="1"/>
    <xf numFmtId="0" fontId="37" fillId="16" borderId="0" xfId="3" applyFont="1" applyFill="1" applyAlignment="1">
      <alignment horizontal="left" vertical="center"/>
    </xf>
    <xf numFmtId="0" fontId="24" fillId="19" borderId="0" xfId="3" applyFont="1" applyFill="1" applyAlignment="1">
      <alignment horizontal="left" vertical="center"/>
    </xf>
    <xf numFmtId="0" fontId="24" fillId="17" borderId="0" xfId="3" applyFont="1" applyFill="1" applyAlignment="1">
      <alignment horizontal="left" vertical="center"/>
    </xf>
    <xf numFmtId="0" fontId="25" fillId="14" borderId="0" xfId="3" applyFont="1" applyFill="1" applyAlignment="1">
      <alignment horizontal="left" vertical="center"/>
    </xf>
    <xf numFmtId="0" fontId="30" fillId="26" borderId="0" xfId="3" applyFont="1" applyFill="1" applyAlignment="1">
      <alignment horizontal="left" vertical="center"/>
    </xf>
    <xf numFmtId="0" fontId="25" fillId="0" borderId="0" xfId="3" applyFont="1" applyAlignment="1">
      <alignment horizontal="left" vertical="center"/>
    </xf>
    <xf numFmtId="0" fontId="24" fillId="17" borderId="0" xfId="3" applyFont="1" applyFill="1" applyAlignment="1">
      <alignment horizontal="center"/>
    </xf>
    <xf numFmtId="0" fontId="13" fillId="0" borderId="0" xfId="0" applyFont="1" applyAlignment="1">
      <alignment horizontal="left" vertical="center" wrapText="1"/>
    </xf>
    <xf numFmtId="175" fontId="49" fillId="27" borderId="0" xfId="4" applyNumberFormat="1" applyFont="1" applyFill="1"/>
    <xf numFmtId="0" fontId="30" fillId="17" borderId="0" xfId="4" applyFont="1" applyFill="1" applyAlignment="1">
      <alignment vertical="center"/>
    </xf>
    <xf numFmtId="0" fontId="30" fillId="28" borderId="0" xfId="3" applyFont="1" applyFill="1" applyAlignment="1">
      <alignment horizontal="left" vertical="center"/>
    </xf>
    <xf numFmtId="0" fontId="51" fillId="28" borderId="0" xfId="3" applyFont="1" applyFill="1" applyAlignment="1">
      <alignment horizontal="center" vertical="center"/>
    </xf>
    <xf numFmtId="168" fontId="52" fillId="28" borderId="0" xfId="3" applyNumberFormat="1" applyFont="1" applyFill="1" applyAlignment="1">
      <alignment horizontal="center" vertical="center"/>
    </xf>
  </cellXfs>
  <cellStyles count="5">
    <cellStyle name="Hyperlink" xfId="1" builtinId="8"/>
    <cellStyle name="Normal" xfId="0" builtinId="0"/>
    <cellStyle name="Normal 2" xfId="3" xr:uid="{E2DB8170-FCCE-4C9D-B49E-AEBC66C50AA5}"/>
    <cellStyle name="Normal 3" xfId="4" xr:uid="{4BFA6316-B4DE-4C45-9B68-BFA3D9FC14DF}"/>
    <cellStyle name="Percent" xfId="2" builtinId="5"/>
  </cellStyles>
  <dxfs count="71">
    <dxf>
      <fill>
        <patternFill>
          <bgColor rgb="FFFFCF7F"/>
        </patternFill>
      </fill>
    </dxf>
    <dxf>
      <fill>
        <patternFill>
          <bgColor rgb="FFFFCF7F"/>
        </patternFill>
      </fill>
    </dxf>
    <dxf>
      <fill>
        <patternFill>
          <bgColor rgb="FFFFCF7F"/>
        </patternFill>
      </fill>
    </dxf>
    <dxf>
      <fill>
        <patternFill>
          <bgColor rgb="FFFFCF7F"/>
        </patternFill>
      </fill>
    </dxf>
    <dxf>
      <fill>
        <patternFill>
          <bgColor rgb="FFFFCF7F"/>
        </patternFill>
      </fill>
    </dxf>
    <dxf>
      <fill>
        <patternFill>
          <bgColor rgb="FFFFCF7F"/>
        </patternFill>
      </fill>
    </dxf>
    <dxf>
      <font>
        <sz val="8"/>
        <color rgb="FFCCCCCC"/>
        <name val="Inter"/>
        <charset val="1"/>
      </font>
      <fill>
        <patternFill>
          <bgColor rgb="FFF0F0F0"/>
        </patternFill>
      </fill>
    </dxf>
    <dxf>
      <fill>
        <patternFill>
          <bgColor rgb="FFA8DCC8"/>
        </patternFill>
      </fill>
    </dxf>
    <dxf>
      <fill>
        <patternFill>
          <bgColor rgb="FFA8DCC8"/>
        </patternFill>
      </fill>
    </dxf>
    <dxf>
      <fill>
        <patternFill>
          <bgColor rgb="FFA8DCC8"/>
        </patternFill>
      </fill>
    </dxf>
    <dxf>
      <fill>
        <patternFill>
          <bgColor rgb="FFA8DCC8"/>
        </patternFill>
      </fill>
    </dxf>
    <dxf>
      <fill>
        <patternFill>
          <bgColor rgb="FFA8DCC8"/>
        </patternFill>
      </fill>
    </dxf>
    <dxf>
      <fill>
        <patternFill>
          <bgColor rgb="FFA8DCC8"/>
        </patternFill>
      </fill>
    </dxf>
    <dxf>
      <font>
        <sz val="8"/>
        <color rgb="FFCCCCCC"/>
        <name val="Inter"/>
        <charset val="1"/>
      </font>
      <fill>
        <patternFill>
          <bgColor rgb="FFF0F0F0"/>
        </patternFill>
      </fill>
    </dxf>
    <dxf>
      <fill>
        <patternFill patternType="solid">
          <fgColor indexed="64"/>
          <bgColor theme="0" tint="-4.9989318521683403E-2"/>
        </patternFill>
      </fill>
    </dxf>
    <dxf>
      <numFmt numFmtId="176" formatCode="d/mm/yyyy"/>
    </dxf>
    <dxf>
      <border outline="0">
        <bottom style="thin">
          <color indexed="64"/>
        </bottom>
      </border>
    </dxf>
    <dxf>
      <font>
        <b/>
        <i val="0"/>
        <strike val="0"/>
        <condense val="0"/>
        <extend val="0"/>
        <outline val="0"/>
        <shadow val="0"/>
        <u val="none"/>
        <vertAlign val="baseline"/>
        <sz val="11"/>
        <color theme="1"/>
        <name val="Aptos Narrow"/>
        <family val="2"/>
        <scheme val="minor"/>
      </font>
    </dxf>
    <dxf>
      <numFmt numFmtId="167" formatCode="&quot;£&quot;#,##0_);\(&quot;£&quot;#,##0\)"/>
    </dxf>
    <dxf>
      <alignment horizontal="right"/>
    </dxf>
    <dxf>
      <numFmt numFmtId="167" formatCode="&quot;£&quot;#,##0_);\(&quot;£&quot;#,##0\)"/>
    </dxf>
    <dxf>
      <numFmt numFmtId="167" formatCode="&quot;£&quot;#,##0_);\(&quot;£&quot;#,##0\)"/>
    </dxf>
    <dxf>
      <alignment horizontal="right"/>
    </dxf>
    <dxf>
      <numFmt numFmtId="167" formatCode="&quot;£&quot;#,##0_);\(&quot;£&quot;#,##0\)"/>
    </dxf>
    <dxf>
      <numFmt numFmtId="167" formatCode="&quot;£&quot;#,##0_);\(&quot;£&quot;#,##0\)"/>
    </dxf>
    <dxf>
      <alignment horizontal="right"/>
    </dxf>
    <dxf>
      <numFmt numFmtId="167" formatCode="&quot;£&quot;#,##0_);\(&quot;£&quot;#,##0\)"/>
    </dxf>
    <dxf>
      <numFmt numFmtId="167" formatCode="&quot;£&quot;#,##0_);\(&quot;£&quot;#,##0\)"/>
    </dxf>
    <dxf>
      <alignment horizontal="right"/>
    </dxf>
    <dxf>
      <numFmt numFmtId="176" formatCode="d/mm/yyyy"/>
    </dxf>
    <dxf>
      <numFmt numFmtId="176" formatCode="d/mm/yyyy"/>
    </dxf>
    <dxf>
      <numFmt numFmtId="3" formatCode="#,##0"/>
    </dxf>
    <dxf>
      <alignment horizontal="right"/>
    </dxf>
    <dxf>
      <alignment horizontal="right"/>
    </dxf>
    <dxf>
      <numFmt numFmtId="3" formatCode="#,##0"/>
    </dxf>
    <dxf>
      <alignment horizontal="right"/>
    </dxf>
    <dxf>
      <alignment horizontal="right"/>
    </dxf>
    <dxf>
      <numFmt numFmtId="167" formatCode="&quot;£&quot;#,##0_);\(&quot;£&quot;#,##0\)"/>
    </dxf>
    <dxf>
      <numFmt numFmtId="167" formatCode="&quot;£&quot;#,##0_);\(&quot;£&quot;#,##0\)"/>
    </dxf>
    <dxf>
      <numFmt numFmtId="167" formatCode="&quot;£&quot;#,##0_);\(&quot;£&quot;#,##0\)"/>
    </dxf>
    <dxf>
      <alignment horizontal="right"/>
    </dxf>
    <dxf>
      <fill>
        <patternFill patternType="solid">
          <fgColor indexed="64"/>
          <bgColor theme="0" tint="-4.9989318521683403E-2"/>
        </patternFill>
      </fill>
    </dxf>
    <dxf>
      <numFmt numFmtId="176" formatCode="d/mm/yyyy"/>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border outline="0">
        <bottom style="thin">
          <color rgb="FF000000"/>
        </bottom>
      </border>
    </dxf>
    <dxf>
      <font>
        <b/>
        <i val="0"/>
        <strike val="0"/>
        <condense val="0"/>
        <extend val="0"/>
        <outline val="0"/>
        <shadow val="0"/>
        <u val="none"/>
        <vertAlign val="baseline"/>
        <sz val="11"/>
        <color theme="1"/>
        <name val="Aptos Narrow"/>
        <family val="2"/>
        <scheme val="minor"/>
      </font>
    </dxf>
    <dxf>
      <numFmt numFmtId="0" formatCode="General"/>
    </dxf>
    <dxf>
      <numFmt numFmtId="167" formatCode="&quot;£&quot;#,##0_);\(&quot;£&quot;#,##0\)"/>
    </dxf>
    <dxf>
      <numFmt numFmtId="14" formatCode="0.00%"/>
    </dxf>
    <dxf>
      <border outline="0">
        <top style="thin">
          <color theme="5" tint="0.39997558519241921"/>
        </top>
      </border>
    </dxf>
    <dxf>
      <border outline="0">
        <left style="thin">
          <color theme="5" tint="0.39997558519241921"/>
        </left>
        <right style="thin">
          <color theme="5" tint="0.39997558519241921"/>
        </right>
        <top style="thin">
          <color theme="5" tint="0.39997558519241921"/>
        </top>
        <bottom style="thin">
          <color theme="5" tint="0.39997558519241921"/>
        </bottom>
      </border>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theme="5"/>
          <bgColor theme="5"/>
        </patternFill>
      </fill>
      <alignment horizontal="center" vertical="bottom" textRotation="0" wrapText="0" indent="0" justifyLastLine="0" shrinkToFit="0" readingOrder="0"/>
    </dxf>
    <dxf>
      <numFmt numFmtId="167" formatCode="&quot;£&quot;#,##0_);\(&quot;£&quot;#,##0\)"/>
    </dxf>
    <dxf>
      <numFmt numFmtId="167" formatCode="&quot;£&quot;#,##0_);\(&quot;£&quot;#,##0\)"/>
    </dxf>
    <dxf>
      <numFmt numFmtId="167" formatCode="&quot;£&quot;#,##0_);\(&quot;£&quot;#,##0\)"/>
    </dxf>
    <dxf>
      <numFmt numFmtId="14" formatCode="0.00%"/>
    </dxf>
    <dxf>
      <numFmt numFmtId="167" formatCode="&quot;£&quot;#,##0_);\(&quot;£&quot;#,##0\)"/>
    </dxf>
    <dxf>
      <border outline="0">
        <bottom style="thin">
          <color indexed="64"/>
        </bottom>
      </border>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s>
  <tableStyles count="0" defaultTableStyle="TableStyleMedium2" defaultPivotStyle="PivotStyleLight16"/>
  <colors>
    <mruColors>
      <color rgb="FF006600"/>
      <color rgb="FF136936"/>
      <color rgb="FFFC4F46"/>
      <color rgb="FFFB2B21"/>
      <color rgb="FFB310C0"/>
      <color rgb="FF967E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1.xml"/><Relationship Id="rId26" Type="http://schemas.openxmlformats.org/officeDocument/2006/relationships/connections" Target="connections.xml"/><Relationship Id="rId3" Type="http://schemas.openxmlformats.org/officeDocument/2006/relationships/worksheet" Target="worksheets/sheet3.xml"/><Relationship Id="rId21" Type="http://schemas.microsoft.com/office/2011/relationships/timelineCache" Target="timelineCaches/timelineCach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3.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microsoft.com/office/2007/relationships/slicerCache" Target="slicerCaches/slicerCache3.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5.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23" Type="http://schemas.microsoft.com/office/2007/relationships/slicerCache" Target="slicerCaches/slicerCache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microsoft.com/office/2007/relationships/slicerCache" Target="slicerCaches/slicerCache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1/relationships/timelineCache" Target="timelineCaches/timelineCache2.xml"/><Relationship Id="rId27" Type="http://schemas.openxmlformats.org/officeDocument/2006/relationships/styles" Target="styles.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[CFA_Ultimate Budget.xlsx]🧮 Analysis!PTExpbyCategory</c:name>
    <c:fmtId val="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Expenses by Category</a:t>
            </a:r>
          </a:p>
        </c:rich>
      </c:tx>
      <c:layout>
        <c:manualLayout>
          <c:xMode val="edge"/>
          <c:yMode val="edge"/>
          <c:x val="2.8534558180227442E-2"/>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noFill/>
          <a:ln w="15875">
            <a:solidFill>
              <a:schemeClr val="accent6">
                <a:lumMod val="75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6"/>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noFill/>
          <a:ln w="15875">
            <a:solidFill>
              <a:schemeClr val="accent6">
                <a:lumMod val="75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solidFill>
            <a:schemeClr val="accent6">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noFill/>
          <a:ln w="15875">
            <a:solidFill>
              <a:schemeClr val="accent6">
                <a:lumMod val="75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3093914281123021"/>
          <c:y val="0.12110641851586733"/>
          <c:w val="0.56857494853959578"/>
          <c:h val="0.80883822476735878"/>
        </c:manualLayout>
      </c:layout>
      <c:barChart>
        <c:barDir val="bar"/>
        <c:grouping val="clustered"/>
        <c:varyColors val="0"/>
        <c:ser>
          <c:idx val="0"/>
          <c:order val="0"/>
          <c:tx>
            <c:strRef>
              <c:f>'🧮 Analysis'!$D$6</c:f>
              <c:strCache>
                <c:ptCount val="1"/>
                <c:pt idx="0">
                  <c:v>Actual </c:v>
                </c:pt>
              </c:strCache>
            </c:strRef>
          </c:tx>
          <c:spPr>
            <a:solidFill>
              <a:schemeClr val="accent6">
                <a:lumMod val="60000"/>
                <a:lumOff val="40000"/>
              </a:schemeClr>
            </a:solidFill>
            <a:ln>
              <a:noFill/>
            </a:ln>
            <a:effectLst/>
          </c:spPr>
          <c:invertIfNegative val="0"/>
          <c:cat>
            <c:strRef>
              <c:f>'🧮 Analysis'!$C$7:$C$18</c:f>
              <c:strCache>
                <c:ptCount val="11"/>
                <c:pt idx="0">
                  <c:v>💳 Travelling</c:v>
                </c:pt>
                <c:pt idx="1">
                  <c:v>📉 Variable</c:v>
                </c:pt>
                <c:pt idx="2">
                  <c:v>💰 Variable</c:v>
                </c:pt>
                <c:pt idx="3">
                  <c:v>💰 Fixed</c:v>
                </c:pt>
                <c:pt idx="4">
                  <c:v>🚙 Variable</c:v>
                </c:pt>
                <c:pt idx="5">
                  <c:v>🩺 Medical</c:v>
                </c:pt>
                <c:pt idx="6">
                  <c:v>🫱 Charity</c:v>
                </c:pt>
                <c:pt idx="7">
                  <c:v>🍴 Dining Out</c:v>
                </c:pt>
                <c:pt idx="8">
                  <c:v>🚙 Transport</c:v>
                </c:pt>
                <c:pt idx="9">
                  <c:v>🏠 Living Expenses</c:v>
                </c:pt>
                <c:pt idx="10">
                  <c:v>💳 Discretionary</c:v>
                </c:pt>
              </c:strCache>
            </c:strRef>
          </c:cat>
          <c:val>
            <c:numRef>
              <c:f>'🧮 Analysis'!$D$7:$D$18</c:f>
              <c:numCache>
                <c:formatCode>"£"#,##0_);\("£"#,##0\)</c:formatCode>
                <c:ptCount val="11"/>
                <c:pt idx="5">
                  <c:v>-379</c:v>
                </c:pt>
                <c:pt idx="6">
                  <c:v>-550</c:v>
                </c:pt>
                <c:pt idx="7">
                  <c:v>-1115</c:v>
                </c:pt>
                <c:pt idx="8">
                  <c:v>-1489.5</c:v>
                </c:pt>
                <c:pt idx="9">
                  <c:v>-6854.0999999999995</c:v>
                </c:pt>
                <c:pt idx="10">
                  <c:v>-7327.6000000000013</c:v>
                </c:pt>
              </c:numCache>
            </c:numRef>
          </c:val>
          <c:extLst>
            <c:ext xmlns:c16="http://schemas.microsoft.com/office/drawing/2014/chart" uri="{C3380CC4-5D6E-409C-BE32-E72D297353CC}">
              <c16:uniqueId val="{00000000-3FA2-456A-8ACC-F0E50BD7F875}"/>
            </c:ext>
          </c:extLst>
        </c:ser>
        <c:ser>
          <c:idx val="1"/>
          <c:order val="1"/>
          <c:tx>
            <c:strRef>
              <c:f>'🧮 Analysis'!$E$6</c:f>
              <c:strCache>
                <c:ptCount val="1"/>
                <c:pt idx="0">
                  <c:v>Budget </c:v>
                </c:pt>
              </c:strCache>
            </c:strRef>
          </c:tx>
          <c:spPr>
            <a:noFill/>
            <a:ln w="15875">
              <a:solidFill>
                <a:schemeClr val="accent6">
                  <a:lumMod val="75000"/>
                </a:schemeClr>
              </a:solidFill>
            </a:ln>
            <a:effectLst/>
          </c:spPr>
          <c:invertIfNegative val="0"/>
          <c:cat>
            <c:strRef>
              <c:f>'🧮 Analysis'!$C$7:$C$18</c:f>
              <c:strCache>
                <c:ptCount val="11"/>
                <c:pt idx="0">
                  <c:v>💳 Travelling</c:v>
                </c:pt>
                <c:pt idx="1">
                  <c:v>📉 Variable</c:v>
                </c:pt>
                <c:pt idx="2">
                  <c:v>💰 Variable</c:v>
                </c:pt>
                <c:pt idx="3">
                  <c:v>💰 Fixed</c:v>
                </c:pt>
                <c:pt idx="4">
                  <c:v>🚙 Variable</c:v>
                </c:pt>
                <c:pt idx="5">
                  <c:v>🩺 Medical</c:v>
                </c:pt>
                <c:pt idx="6">
                  <c:v>🫱 Charity</c:v>
                </c:pt>
                <c:pt idx="7">
                  <c:v>🍴 Dining Out</c:v>
                </c:pt>
                <c:pt idx="8">
                  <c:v>🚙 Transport</c:v>
                </c:pt>
                <c:pt idx="9">
                  <c:v>🏠 Living Expenses</c:v>
                </c:pt>
                <c:pt idx="10">
                  <c:v>💳 Discretionary</c:v>
                </c:pt>
              </c:strCache>
            </c:strRef>
          </c:cat>
          <c:val>
            <c:numRef>
              <c:f>'🧮 Analysis'!$E$7:$E$18</c:f>
              <c:numCache>
                <c:formatCode>"£"#,##0_);\("£"#,##0\)</c:formatCode>
                <c:ptCount val="11"/>
                <c:pt idx="0">
                  <c:v>-2400</c:v>
                </c:pt>
                <c:pt idx="1">
                  <c:v>-360</c:v>
                </c:pt>
                <c:pt idx="2">
                  <c:v>-7860</c:v>
                </c:pt>
                <c:pt idx="3">
                  <c:v>-12120</c:v>
                </c:pt>
                <c:pt idx="4">
                  <c:v>-2300</c:v>
                </c:pt>
                <c:pt idx="5">
                  <c:v>-1200</c:v>
                </c:pt>
                <c:pt idx="6">
                  <c:v>-9060</c:v>
                </c:pt>
                <c:pt idx="7">
                  <c:v>-3720</c:v>
                </c:pt>
                <c:pt idx="8">
                  <c:v>-4200</c:v>
                </c:pt>
                <c:pt idx="9">
                  <c:v>-20160</c:v>
                </c:pt>
                <c:pt idx="10">
                  <c:v>-2940</c:v>
                </c:pt>
              </c:numCache>
            </c:numRef>
          </c:val>
          <c:extLst>
            <c:ext xmlns:c16="http://schemas.microsoft.com/office/drawing/2014/chart" uri="{C3380CC4-5D6E-409C-BE32-E72D297353CC}">
              <c16:uniqueId val="{00000001-3FA2-456A-8ACC-F0E50BD7F875}"/>
            </c:ext>
          </c:extLst>
        </c:ser>
        <c:dLbls>
          <c:showLegendKey val="0"/>
          <c:showVal val="0"/>
          <c:showCatName val="0"/>
          <c:showSerName val="0"/>
          <c:showPercent val="0"/>
          <c:showBubbleSize val="0"/>
        </c:dLbls>
        <c:gapWidth val="50"/>
        <c:overlap val="100"/>
        <c:axId val="1332544911"/>
        <c:axId val="1175141791"/>
      </c:barChart>
      <c:catAx>
        <c:axId val="1332544911"/>
        <c:scaling>
          <c:orientation val="minMax"/>
        </c:scaling>
        <c:delete val="0"/>
        <c:axPos val="r"/>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5141791"/>
        <c:crosses val="autoZero"/>
        <c:auto val="1"/>
        <c:lblAlgn val="ctr"/>
        <c:lblOffset val="100"/>
        <c:noMultiLvlLbl val="0"/>
      </c:catAx>
      <c:valAx>
        <c:axId val="1175141791"/>
        <c:scaling>
          <c:orientation val="maxMin"/>
        </c:scaling>
        <c:delete val="0"/>
        <c:axPos val="b"/>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2544911"/>
        <c:crosses val="autoZero"/>
        <c:crossBetween val="between"/>
      </c:valAx>
      <c:spPr>
        <a:noFill/>
        <a:ln>
          <a:noFill/>
        </a:ln>
        <a:effectLst/>
      </c:spPr>
    </c:plotArea>
    <c:legend>
      <c:legendPos val="t"/>
      <c:layout>
        <c:manualLayout>
          <c:xMode val="edge"/>
          <c:yMode val="edge"/>
          <c:x val="0.57556989049838159"/>
          <c:y val="2.4069911715581004E-2"/>
          <c:w val="0.42443010950161841"/>
          <c:h val="5.86705460247621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[CFA_Ultimate Budget.xlsx]🧮 Analysis!PTExpActBud</c:name>
    <c:fmtId val="1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Expenses</a:t>
            </a:r>
          </a:p>
        </c:rich>
      </c:tx>
      <c:layout>
        <c:manualLayout>
          <c:xMode val="edge"/>
          <c:yMode val="edge"/>
          <c:x val="2.0201224846894111E-2"/>
          <c:y val="2.7777777777777776E-2"/>
        </c:manualLayout>
      </c:layout>
      <c:overlay val="0"/>
      <c:spPr>
        <a:noFill/>
        <a:ln>
          <a:noFill/>
        </a:ln>
        <a:effectLst/>
      </c:spPr>
    </c:title>
    <c:autoTitleDeleted val="0"/>
    <c:pivotFmts>
      <c:pivotFmt>
        <c:idx val="0"/>
        <c:spPr>
          <a:solidFill>
            <a:schemeClr val="accent6"/>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noFill/>
          <a:ln w="15875">
            <a:solidFill>
              <a:schemeClr val="accent6">
                <a:lumMod val="75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6"/>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noFill/>
          <a:ln w="15875">
            <a:solidFill>
              <a:schemeClr val="accent6">
                <a:lumMod val="75000"/>
              </a:schemeClr>
            </a:solid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5"/>
        <c:spPr>
          <a:noFill/>
          <a:ln w="15875">
            <a:solidFill>
              <a:schemeClr val="accent6">
                <a:lumMod val="75000"/>
              </a:schemeClr>
            </a:solidFill>
          </a:ln>
          <a:effectLst/>
        </c:spPr>
        <c:marker>
          <c:symbol val="none"/>
        </c:marker>
        <c:dLbl>
          <c:idx val="0"/>
          <c:delete val="1"/>
          <c:extLst>
            <c:ext xmlns:c15="http://schemas.microsoft.com/office/drawing/2012/chart" uri="{CE6537A1-D6FC-4f65-9D91-7224C49458BB}"/>
          </c:extLst>
        </c:dLbl>
      </c:pivotFmt>
      <c:pivotFmt>
        <c:idx val="6"/>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7"/>
        <c:spPr>
          <a:noFill/>
          <a:ln w="15875">
            <a:solidFill>
              <a:schemeClr val="accent6">
                <a:lumMod val="75000"/>
              </a:schemeClr>
            </a:solidFill>
          </a:ln>
          <a:effectLst/>
        </c:spPr>
        <c:marker>
          <c:symbol val="none"/>
        </c:marker>
        <c:dLbl>
          <c:idx val="0"/>
          <c:delete val="1"/>
          <c:extLst>
            <c:ext xmlns:c15="http://schemas.microsoft.com/office/drawing/2012/chart" uri="{CE6537A1-D6FC-4f65-9D91-7224C49458BB}"/>
          </c:extLst>
        </c:dLbl>
      </c:pivotFmt>
      <c:pivotFmt>
        <c:idx val="8"/>
        <c:spPr>
          <a:solidFill>
            <a:schemeClr val="accent6"/>
          </a:solidFill>
          <a:ln>
            <a:noFill/>
          </a:ln>
          <a:effectLst/>
        </c:spPr>
        <c:marker>
          <c:symbol val="none"/>
        </c:marker>
        <c:dLbl>
          <c:idx val="0"/>
          <c:delete val="1"/>
          <c:extLst>
            <c:ext xmlns:c15="http://schemas.microsoft.com/office/drawing/2012/chart" uri="{CE6537A1-D6FC-4f65-9D91-7224C49458BB}"/>
          </c:extLst>
        </c:dLbl>
      </c:pivotFmt>
      <c:pivotFmt>
        <c:idx val="9"/>
        <c:spPr>
          <a:noFill/>
          <a:ln w="15875">
            <a:solidFill>
              <a:schemeClr val="accent6">
                <a:lumMod val="75000"/>
              </a:schemeClr>
            </a:solidFill>
          </a:ln>
          <a:effectLst/>
        </c:spPr>
        <c:marker>
          <c:symbol val="none"/>
        </c:marker>
        <c:dLbl>
          <c:idx val="0"/>
          <c:delete val="1"/>
          <c:extLst>
            <c:ext xmlns:c15="http://schemas.microsoft.com/office/drawing/2012/chart" uri="{CE6537A1-D6FC-4f65-9D91-7224C49458BB}"/>
          </c:extLst>
        </c:dLbl>
      </c:pivotFmt>
      <c:pivotFmt>
        <c:idx val="10"/>
        <c:spPr>
          <a:solidFill>
            <a:schemeClr val="accent6">
              <a:tint val="77000"/>
            </a:schemeClr>
          </a:solidFill>
          <a:ln>
            <a:noFill/>
          </a:ln>
          <a:effectLst/>
        </c:spPr>
        <c:marker>
          <c:symbol val="none"/>
        </c:marker>
        <c:dLbl>
          <c:idx val="0"/>
          <c:delete val="1"/>
          <c:extLst>
            <c:ext xmlns:c15="http://schemas.microsoft.com/office/drawing/2012/chart" uri="{CE6537A1-D6FC-4f65-9D91-7224C49458BB}"/>
          </c:extLst>
        </c:dLbl>
      </c:pivotFmt>
      <c:pivotFmt>
        <c:idx val="11"/>
        <c:spPr>
          <a:noFill/>
          <a:ln w="15875">
            <a:solidFill>
              <a:schemeClr val="accent6">
                <a:lumMod val="75000"/>
              </a:schemeClr>
            </a:solidFill>
          </a:ln>
          <a:effectLst/>
        </c:spPr>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0.11096975987033851"/>
          <c:y val="0.1710559318681508"/>
          <c:w val="0.85847462817147857"/>
          <c:h val="0.64489975211431905"/>
        </c:manualLayout>
      </c:layout>
      <c:barChart>
        <c:barDir val="col"/>
        <c:grouping val="clustered"/>
        <c:varyColors val="0"/>
        <c:ser>
          <c:idx val="0"/>
          <c:order val="0"/>
          <c:tx>
            <c:strRef>
              <c:f>'🧮 Analysis'!$H$6</c:f>
              <c:strCache>
                <c:ptCount val="1"/>
                <c:pt idx="0">
                  <c:v>Actual </c:v>
                </c:pt>
              </c:strCache>
            </c:strRef>
          </c:tx>
          <c:spPr>
            <a:solidFill>
              <a:schemeClr val="accent6">
                <a:tint val="77000"/>
              </a:schemeClr>
            </a:solidFill>
            <a:ln>
              <a:noFill/>
            </a:ln>
            <a:effectLst/>
          </c:spPr>
          <c:invertIfNegative val="0"/>
          <c:cat>
            <c:multiLvlStrRef>
              <c:f>'🧮 Analysis'!$G$7:$G$21</c:f>
              <c:multiLvlStrCache>
                <c:ptCount val="12"/>
                <c:lvl>
                  <c:pt idx="0">
                    <c:v>1</c:v>
                  </c:pt>
                  <c:pt idx="1">
                    <c:v>2</c:v>
                  </c:pt>
                  <c:pt idx="2">
                    <c:v>3</c:v>
                  </c:pt>
                  <c:pt idx="3">
                    <c:v>4</c:v>
                  </c:pt>
                  <c:pt idx="4">
                    <c:v>5</c:v>
                  </c:pt>
                  <c:pt idx="5">
                    <c:v>6</c:v>
                  </c:pt>
                  <c:pt idx="6">
                    <c:v>7</c:v>
                  </c:pt>
                  <c:pt idx="7">
                    <c:v>8</c:v>
                  </c:pt>
                  <c:pt idx="8">
                    <c:v>9</c:v>
                  </c:pt>
                  <c:pt idx="9">
                    <c:v>10</c:v>
                  </c:pt>
                  <c:pt idx="10">
                    <c:v>11</c:v>
                  </c:pt>
                  <c:pt idx="11">
                    <c:v>12</c:v>
                  </c:pt>
                </c:lvl>
                <c:lvl>
                  <c:pt idx="0">
                    <c:v>2026</c:v>
                  </c:pt>
                </c:lvl>
              </c:multiLvlStrCache>
            </c:multiLvlStrRef>
          </c:cat>
          <c:val>
            <c:numRef>
              <c:f>'🧮 Analysis'!$H$7:$H$21</c:f>
              <c:numCache>
                <c:formatCode>"£"#,##0_);\("£"#,##0\)</c:formatCode>
                <c:ptCount val="12"/>
                <c:pt idx="0">
                  <c:v>-1806</c:v>
                </c:pt>
                <c:pt idx="1">
                  <c:v>-1676.7</c:v>
                </c:pt>
                <c:pt idx="2">
                  <c:v>-1800.6</c:v>
                </c:pt>
                <c:pt idx="3">
                  <c:v>-1782.6000000000001</c:v>
                </c:pt>
                <c:pt idx="4">
                  <c:v>-1854.6</c:v>
                </c:pt>
                <c:pt idx="5">
                  <c:v>-1738.3</c:v>
                </c:pt>
                <c:pt idx="6">
                  <c:v>-1776.1000000000001</c:v>
                </c:pt>
                <c:pt idx="7">
                  <c:v>-1672.2</c:v>
                </c:pt>
                <c:pt idx="8">
                  <c:v>-1801.1</c:v>
                </c:pt>
                <c:pt idx="9">
                  <c:v>-1807</c:v>
                </c:pt>
              </c:numCache>
            </c:numRef>
          </c:val>
          <c:extLst>
            <c:ext xmlns:c16="http://schemas.microsoft.com/office/drawing/2014/chart" uri="{C3380CC4-5D6E-409C-BE32-E72D297353CC}">
              <c16:uniqueId val="{00000005-B2CB-43EA-AD03-55662F753CB2}"/>
            </c:ext>
          </c:extLst>
        </c:ser>
        <c:ser>
          <c:idx val="1"/>
          <c:order val="1"/>
          <c:tx>
            <c:strRef>
              <c:f>'🧮 Analysis'!$I$6</c:f>
              <c:strCache>
                <c:ptCount val="1"/>
                <c:pt idx="0">
                  <c:v>Budget </c:v>
                </c:pt>
              </c:strCache>
            </c:strRef>
          </c:tx>
          <c:spPr>
            <a:noFill/>
            <a:ln w="15875">
              <a:solidFill>
                <a:schemeClr val="accent6">
                  <a:lumMod val="75000"/>
                </a:schemeClr>
              </a:solidFill>
            </a:ln>
            <a:effectLst/>
          </c:spPr>
          <c:invertIfNegative val="0"/>
          <c:cat>
            <c:multiLvlStrRef>
              <c:f>'🧮 Analysis'!$G$7:$G$21</c:f>
              <c:multiLvlStrCache>
                <c:ptCount val="12"/>
                <c:lvl>
                  <c:pt idx="0">
                    <c:v>1</c:v>
                  </c:pt>
                  <c:pt idx="1">
                    <c:v>2</c:v>
                  </c:pt>
                  <c:pt idx="2">
                    <c:v>3</c:v>
                  </c:pt>
                  <c:pt idx="3">
                    <c:v>4</c:v>
                  </c:pt>
                  <c:pt idx="4">
                    <c:v>5</c:v>
                  </c:pt>
                  <c:pt idx="5">
                    <c:v>6</c:v>
                  </c:pt>
                  <c:pt idx="6">
                    <c:v>7</c:v>
                  </c:pt>
                  <c:pt idx="7">
                    <c:v>8</c:v>
                  </c:pt>
                  <c:pt idx="8">
                    <c:v>9</c:v>
                  </c:pt>
                  <c:pt idx="9">
                    <c:v>10</c:v>
                  </c:pt>
                  <c:pt idx="10">
                    <c:v>11</c:v>
                  </c:pt>
                  <c:pt idx="11">
                    <c:v>12</c:v>
                  </c:pt>
                </c:lvl>
                <c:lvl>
                  <c:pt idx="0">
                    <c:v>2026</c:v>
                  </c:pt>
                </c:lvl>
              </c:multiLvlStrCache>
            </c:multiLvlStrRef>
          </c:cat>
          <c:val>
            <c:numRef>
              <c:f>'🧮 Analysis'!$I$7:$I$21</c:f>
              <c:numCache>
                <c:formatCode>"£"#,##0_);\("£"#,##0\)</c:formatCode>
                <c:ptCount val="12"/>
                <c:pt idx="0">
                  <c:v>-5405</c:v>
                </c:pt>
                <c:pt idx="1">
                  <c:v>-5505</c:v>
                </c:pt>
                <c:pt idx="2">
                  <c:v>-5685</c:v>
                </c:pt>
                <c:pt idx="3">
                  <c:v>-5505</c:v>
                </c:pt>
                <c:pt idx="4">
                  <c:v>-5505</c:v>
                </c:pt>
                <c:pt idx="5">
                  <c:v>-5505</c:v>
                </c:pt>
                <c:pt idx="6">
                  <c:v>-5505</c:v>
                </c:pt>
                <c:pt idx="7">
                  <c:v>-5505</c:v>
                </c:pt>
                <c:pt idx="8">
                  <c:v>-5685</c:v>
                </c:pt>
                <c:pt idx="9">
                  <c:v>-5505</c:v>
                </c:pt>
                <c:pt idx="10">
                  <c:v>-5505</c:v>
                </c:pt>
                <c:pt idx="11">
                  <c:v>-5505</c:v>
                </c:pt>
              </c:numCache>
            </c:numRef>
          </c:val>
          <c:extLst>
            <c:ext xmlns:c16="http://schemas.microsoft.com/office/drawing/2014/chart" uri="{C3380CC4-5D6E-409C-BE32-E72D297353CC}">
              <c16:uniqueId val="{00000007-B2CB-43EA-AD03-55662F753CB2}"/>
            </c:ext>
          </c:extLst>
        </c:ser>
        <c:dLbls>
          <c:showLegendKey val="0"/>
          <c:showVal val="0"/>
          <c:showCatName val="0"/>
          <c:showSerName val="0"/>
          <c:showPercent val="0"/>
          <c:showBubbleSize val="0"/>
        </c:dLbls>
        <c:gapWidth val="50"/>
        <c:overlap val="100"/>
        <c:axId val="878429167"/>
        <c:axId val="1471449503"/>
      </c:barChart>
      <c:catAx>
        <c:axId val="878429167"/>
        <c:scaling>
          <c:orientation val="minMax"/>
        </c:scaling>
        <c:delete val="0"/>
        <c:axPos val="t"/>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1449503"/>
        <c:crosses val="autoZero"/>
        <c:auto val="1"/>
        <c:lblAlgn val="ctr"/>
        <c:lblOffset val="100"/>
        <c:noMultiLvlLbl val="0"/>
      </c:catAx>
      <c:valAx>
        <c:axId val="1471449503"/>
        <c:scaling>
          <c:orientation val="maxMin"/>
        </c:scaling>
        <c:delete val="0"/>
        <c:axPos val="l"/>
        <c:majorGridlines>
          <c:spPr>
            <a:ln w="9525" cap="flat" cmpd="sng" algn="ctr">
              <a:solidFill>
                <a:schemeClr val="tx1">
                  <a:lumMod val="15000"/>
                  <a:lumOff val="85000"/>
                </a:schemeClr>
              </a:solidFill>
              <a:round/>
            </a:ln>
            <a:effectLst/>
          </c:spPr>
        </c:majorGridlines>
        <c:numFmt formatCode="&quot;£&quot;#,##0_);\(&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8429167"/>
        <c:crosses val="autoZero"/>
        <c:crossBetween val="between"/>
      </c:valAx>
    </c:plotArea>
    <c:legend>
      <c:legendPos val="t"/>
      <c:layout>
        <c:manualLayout>
          <c:xMode val="edge"/>
          <c:yMode val="edge"/>
          <c:x val="0.75883858267716531"/>
          <c:y val="5.5972222222222222E-2"/>
          <c:w val="0.23787817147856519"/>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pivotSource>
    <c:name>[CFA_Ultimate Budget.xlsx]🧮 Analysis!PTIncomeActBud</c:name>
    <c:fmtId val="2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a:t>Income</a:t>
            </a:r>
          </a:p>
        </c:rich>
      </c:tx>
      <c:layout>
        <c:manualLayout>
          <c:xMode val="edge"/>
          <c:yMode val="edge"/>
          <c:x val="1.4645669291338584E-2"/>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4"/>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noFill/>
          <a:ln w="15875">
            <a:solidFill>
              <a:schemeClr val="accent4">
                <a:lumMod val="75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096981627296588"/>
          <c:y val="0.17113480606590842"/>
          <c:w val="0.85847462817147857"/>
          <c:h val="0.64489975211431905"/>
        </c:manualLayout>
      </c:layout>
      <c:barChart>
        <c:barDir val="col"/>
        <c:grouping val="clustered"/>
        <c:varyColors val="0"/>
        <c:ser>
          <c:idx val="0"/>
          <c:order val="0"/>
          <c:tx>
            <c:strRef>
              <c:f>'🧮 Analysis'!$O$6</c:f>
              <c:strCache>
                <c:ptCount val="1"/>
                <c:pt idx="0">
                  <c:v>Actual </c:v>
                </c:pt>
              </c:strCache>
            </c:strRef>
          </c:tx>
          <c:spPr>
            <a:solidFill>
              <a:schemeClr val="accent4">
                <a:tint val="77000"/>
              </a:schemeClr>
            </a:solidFill>
            <a:ln>
              <a:noFill/>
            </a:ln>
            <a:effectLst/>
          </c:spPr>
          <c:invertIfNegative val="0"/>
          <c:cat>
            <c:multiLvlStrRef>
              <c:f>'🧮 Analysis'!$N$7:$N$21</c:f>
              <c:multiLvlStrCache>
                <c:ptCount val="12"/>
                <c:lvl>
                  <c:pt idx="0">
                    <c:v>1</c:v>
                  </c:pt>
                  <c:pt idx="1">
                    <c:v>2</c:v>
                  </c:pt>
                  <c:pt idx="2">
                    <c:v>3</c:v>
                  </c:pt>
                  <c:pt idx="3">
                    <c:v>4</c:v>
                  </c:pt>
                  <c:pt idx="4">
                    <c:v>5</c:v>
                  </c:pt>
                  <c:pt idx="5">
                    <c:v>6</c:v>
                  </c:pt>
                  <c:pt idx="6">
                    <c:v>7</c:v>
                  </c:pt>
                  <c:pt idx="7">
                    <c:v>8</c:v>
                  </c:pt>
                  <c:pt idx="8">
                    <c:v>9</c:v>
                  </c:pt>
                  <c:pt idx="9">
                    <c:v>10</c:v>
                  </c:pt>
                  <c:pt idx="10">
                    <c:v>11</c:v>
                  </c:pt>
                  <c:pt idx="11">
                    <c:v>12</c:v>
                  </c:pt>
                </c:lvl>
                <c:lvl>
                  <c:pt idx="0">
                    <c:v>2026</c:v>
                  </c:pt>
                </c:lvl>
              </c:multiLvlStrCache>
            </c:multiLvlStrRef>
          </c:cat>
          <c:val>
            <c:numRef>
              <c:f>'🧮 Analysis'!$O$7:$O$21</c:f>
              <c:numCache>
                <c:formatCode>"£"#,##0_);\("£"#,##0\)</c:formatCode>
                <c:ptCount val="12"/>
                <c:pt idx="0">
                  <c:v>4035</c:v>
                </c:pt>
                <c:pt idx="1">
                  <c:v>4036</c:v>
                </c:pt>
                <c:pt idx="2">
                  <c:v>5387</c:v>
                </c:pt>
                <c:pt idx="3">
                  <c:v>4038</c:v>
                </c:pt>
                <c:pt idx="4">
                  <c:v>4039</c:v>
                </c:pt>
                <c:pt idx="5">
                  <c:v>4040</c:v>
                </c:pt>
                <c:pt idx="6">
                  <c:v>4041</c:v>
                </c:pt>
                <c:pt idx="7">
                  <c:v>4042</c:v>
                </c:pt>
                <c:pt idx="8">
                  <c:v>5643</c:v>
                </c:pt>
                <c:pt idx="9">
                  <c:v>4044</c:v>
                </c:pt>
              </c:numCache>
            </c:numRef>
          </c:val>
          <c:extLst>
            <c:ext xmlns:c16="http://schemas.microsoft.com/office/drawing/2014/chart" uri="{C3380CC4-5D6E-409C-BE32-E72D297353CC}">
              <c16:uniqueId val="{00000000-B460-46F8-B55D-5266524E0EA9}"/>
            </c:ext>
          </c:extLst>
        </c:ser>
        <c:ser>
          <c:idx val="1"/>
          <c:order val="1"/>
          <c:tx>
            <c:strRef>
              <c:f>'🧮 Analysis'!$P$6</c:f>
              <c:strCache>
                <c:ptCount val="1"/>
                <c:pt idx="0">
                  <c:v>Budget </c:v>
                </c:pt>
              </c:strCache>
            </c:strRef>
          </c:tx>
          <c:spPr>
            <a:noFill/>
            <a:ln w="15875">
              <a:solidFill>
                <a:schemeClr val="accent4">
                  <a:lumMod val="75000"/>
                </a:schemeClr>
              </a:solidFill>
            </a:ln>
            <a:effectLst/>
          </c:spPr>
          <c:invertIfNegative val="0"/>
          <c:cat>
            <c:multiLvlStrRef>
              <c:f>'🧮 Analysis'!$N$7:$N$21</c:f>
              <c:multiLvlStrCache>
                <c:ptCount val="12"/>
                <c:lvl>
                  <c:pt idx="0">
                    <c:v>1</c:v>
                  </c:pt>
                  <c:pt idx="1">
                    <c:v>2</c:v>
                  </c:pt>
                  <c:pt idx="2">
                    <c:v>3</c:v>
                  </c:pt>
                  <c:pt idx="3">
                    <c:v>4</c:v>
                  </c:pt>
                  <c:pt idx="4">
                    <c:v>5</c:v>
                  </c:pt>
                  <c:pt idx="5">
                    <c:v>6</c:v>
                  </c:pt>
                  <c:pt idx="6">
                    <c:v>7</c:v>
                  </c:pt>
                  <c:pt idx="7">
                    <c:v>8</c:v>
                  </c:pt>
                  <c:pt idx="8">
                    <c:v>9</c:v>
                  </c:pt>
                  <c:pt idx="9">
                    <c:v>10</c:v>
                  </c:pt>
                  <c:pt idx="10">
                    <c:v>11</c:v>
                  </c:pt>
                  <c:pt idx="11">
                    <c:v>12</c:v>
                  </c:pt>
                </c:lvl>
                <c:lvl>
                  <c:pt idx="0">
                    <c:v>2026</c:v>
                  </c:pt>
                </c:lvl>
              </c:multiLvlStrCache>
            </c:multiLvlStrRef>
          </c:cat>
          <c:val>
            <c:numRef>
              <c:f>'🧮 Analysis'!$P$7:$P$21</c:f>
              <c:numCache>
                <c:formatCode>"£"#,##0_);\("£"#,##0\)</c:formatCode>
                <c:ptCount val="12"/>
                <c:pt idx="0">
                  <c:v>4450</c:v>
                </c:pt>
                <c:pt idx="1">
                  <c:v>4450</c:v>
                </c:pt>
                <c:pt idx="2">
                  <c:v>4450</c:v>
                </c:pt>
                <c:pt idx="3">
                  <c:v>4450</c:v>
                </c:pt>
                <c:pt idx="4">
                  <c:v>4450</c:v>
                </c:pt>
                <c:pt idx="5">
                  <c:v>4450</c:v>
                </c:pt>
                <c:pt idx="6">
                  <c:v>4450</c:v>
                </c:pt>
                <c:pt idx="7">
                  <c:v>4450</c:v>
                </c:pt>
                <c:pt idx="8">
                  <c:v>4450</c:v>
                </c:pt>
                <c:pt idx="9">
                  <c:v>4450</c:v>
                </c:pt>
                <c:pt idx="10">
                  <c:v>4450</c:v>
                </c:pt>
                <c:pt idx="11">
                  <c:v>4450</c:v>
                </c:pt>
              </c:numCache>
            </c:numRef>
          </c:val>
          <c:extLst>
            <c:ext xmlns:c16="http://schemas.microsoft.com/office/drawing/2014/chart" uri="{C3380CC4-5D6E-409C-BE32-E72D297353CC}">
              <c16:uniqueId val="{00000001-B460-46F8-B55D-5266524E0EA9}"/>
            </c:ext>
          </c:extLst>
        </c:ser>
        <c:dLbls>
          <c:showLegendKey val="0"/>
          <c:showVal val="0"/>
          <c:showCatName val="0"/>
          <c:showSerName val="0"/>
          <c:showPercent val="0"/>
          <c:showBubbleSize val="0"/>
        </c:dLbls>
        <c:gapWidth val="50"/>
        <c:overlap val="100"/>
        <c:axId val="1342516399"/>
        <c:axId val="1624870191"/>
      </c:barChart>
      <c:catAx>
        <c:axId val="1342516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4870191"/>
        <c:crosses val="autoZero"/>
        <c:auto val="1"/>
        <c:lblAlgn val="ctr"/>
        <c:lblOffset val="100"/>
        <c:noMultiLvlLbl val="0"/>
      </c:catAx>
      <c:valAx>
        <c:axId val="162487019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2516399"/>
        <c:crosses val="autoZero"/>
        <c:crossBetween val="between"/>
      </c:valAx>
      <c:spPr>
        <a:noFill/>
        <a:ln>
          <a:noFill/>
        </a:ln>
        <a:effectLst/>
      </c:spPr>
    </c:plotArea>
    <c:legend>
      <c:legendPos val="t"/>
      <c:layout>
        <c:manualLayout>
          <c:xMode val="edge"/>
          <c:yMode val="edge"/>
          <c:x val="0.74494969378827647"/>
          <c:y val="3.7453703703703704E-2"/>
          <c:w val="0.23787817147856519"/>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pivotSource>
    <c:name>[CFA_Ultimate Budget.xlsx]🧮 Analysis!PTIncomeDoughnut</c:name>
    <c:fmtId val="31"/>
  </c:pivotSource>
  <c:chart>
    <c:autoTitleDeleted val="1"/>
    <c:pivotFmts>
      <c:pivotFmt>
        <c:idx val="0"/>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1"/>
        <c:dLbl>
          <c:idx val="0"/>
          <c:layout>
            <c:manualLayout>
              <c:x val="-0.16666666666666666"/>
              <c:y val="1.3888888888888888E-2"/>
            </c:manualLayout>
          </c:layout>
          <c:showLegendKey val="0"/>
          <c:showVal val="1"/>
          <c:showCatName val="1"/>
          <c:showSerName val="0"/>
          <c:showPercent val="0"/>
          <c:showBubbleSize val="0"/>
          <c:extLst>
            <c:ext xmlns:c15="http://schemas.microsoft.com/office/drawing/2012/chart" uri="{CE6537A1-D6FC-4f65-9D91-7224C49458BB}"/>
          </c:extLst>
        </c:dLbl>
      </c:pivotFmt>
      <c:pivotFmt>
        <c:idx val="2"/>
        <c:dLbl>
          <c:idx val="0"/>
          <c:layout>
            <c:manualLayout>
              <c:x val="0.13333333333333333"/>
              <c:y val="-6.0185185185185182E-2"/>
            </c:manualLayout>
          </c:layout>
          <c:showLegendKey val="0"/>
          <c:showVal val="1"/>
          <c:showCatName val="1"/>
          <c:showSerName val="0"/>
          <c:showPercent val="0"/>
          <c:showBubbleSize val="0"/>
          <c:extLst>
            <c:ext xmlns:c15="http://schemas.microsoft.com/office/drawing/2012/chart" uri="{CE6537A1-D6FC-4f65-9D91-7224C49458BB}"/>
          </c:extLst>
        </c:dLbl>
      </c:pivotFmt>
      <c:pivotFmt>
        <c:idx val="3"/>
        <c:spPr>
          <a:solidFill>
            <a:schemeClr val="accent4"/>
          </a:solidFill>
          <a:ln w="19050">
            <a:solidFill>
              <a:schemeClr val="lt1"/>
            </a:solidFill>
          </a:ln>
          <a:effectLst/>
        </c:spPr>
        <c:dLbl>
          <c:idx val="0"/>
          <c:layout>
            <c:manualLayout>
              <c:x val="-4.7863247863247929E-2"/>
              <c:y val="-0.1322666444486476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4"/>
        <c:spPr>
          <a:solidFill>
            <a:schemeClr val="accent4"/>
          </a:solidFill>
          <a:ln w="19050">
            <a:solidFill>
              <a:schemeClr val="lt1"/>
            </a:solidFill>
          </a:ln>
          <a:effectLst/>
        </c:spPr>
        <c:dLbl>
          <c:idx val="0"/>
          <c:layout>
            <c:manualLayout>
              <c:x val="0.17094017094017094"/>
              <c:y val="-6.826665519930201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5"/>
        <c:spPr>
          <a:solidFill>
            <a:schemeClr val="accent4"/>
          </a:solidFill>
          <a:ln w="19050">
            <a:solidFill>
              <a:schemeClr val="lt1"/>
            </a:solidFill>
          </a:ln>
          <a:effectLst/>
        </c:spPr>
        <c:dLbl>
          <c:idx val="0"/>
          <c:layout>
            <c:manualLayout>
              <c:x val="-0.16752136752136751"/>
              <c:y val="6.399998924934563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6"/>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7"/>
        <c:spPr>
          <a:solidFill>
            <a:schemeClr val="accent4"/>
          </a:solidFill>
          <a:ln w="19050">
            <a:solidFill>
              <a:schemeClr val="lt1"/>
            </a:solidFill>
          </a:ln>
          <a:effectLst/>
        </c:spPr>
        <c:dLbl>
          <c:idx val="0"/>
          <c:layout>
            <c:manualLayout>
              <c:x val="-4.7863247863247929E-2"/>
              <c:y val="-0.1322666444486476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8"/>
        <c:spPr>
          <a:solidFill>
            <a:schemeClr val="accent4"/>
          </a:solidFill>
          <a:ln w="19050">
            <a:solidFill>
              <a:schemeClr val="lt1"/>
            </a:solidFill>
          </a:ln>
          <a:effectLst/>
        </c:spPr>
        <c:dLbl>
          <c:idx val="0"/>
          <c:layout>
            <c:manualLayout>
              <c:x val="0.17094017094017094"/>
              <c:y val="-6.826665519930201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9"/>
        <c:spPr>
          <a:solidFill>
            <a:schemeClr val="accent4"/>
          </a:solidFill>
          <a:ln w="19050">
            <a:solidFill>
              <a:schemeClr val="lt1"/>
            </a:solidFill>
          </a:ln>
          <a:effectLst/>
        </c:spPr>
        <c:dLbl>
          <c:idx val="0"/>
          <c:layout>
            <c:manualLayout>
              <c:x val="-0.16752136752136751"/>
              <c:y val="6.399998924934563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10"/>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11"/>
        <c:spPr>
          <a:solidFill>
            <a:schemeClr val="accent4">
              <a:tint val="58000"/>
            </a:schemeClr>
          </a:solidFill>
          <a:ln w="19050">
            <a:solidFill>
              <a:schemeClr val="lt1"/>
            </a:solidFill>
          </a:ln>
          <a:effectLst/>
        </c:spPr>
        <c:dLbl>
          <c:idx val="0"/>
          <c:layout>
            <c:manualLayout>
              <c:x val="-0.16779263703148217"/>
              <c:y val="-0.1066254795073692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43705453484981044"/>
                  <c:h val="0.12805128205128205"/>
                </c:manualLayout>
              </c15:layout>
            </c:ext>
          </c:extLst>
        </c:dLbl>
      </c:pivotFmt>
      <c:pivotFmt>
        <c:idx val="12"/>
        <c:spPr>
          <a:solidFill>
            <a:schemeClr val="accent4">
              <a:shade val="65000"/>
            </a:schemeClr>
          </a:solidFill>
          <a:ln w="19050">
            <a:solidFill>
              <a:schemeClr val="lt1"/>
            </a:solidFill>
          </a:ln>
          <a:effectLst/>
        </c:spPr>
        <c:dLbl>
          <c:idx val="0"/>
          <c:layout>
            <c:manualLayout>
              <c:x val="7.5702203891180264E-2"/>
              <c:y val="-0.1451895820714718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extLst>
        </c:dLbl>
      </c:pivotFmt>
      <c:pivotFmt>
        <c:idx val="13"/>
        <c:spPr>
          <a:solidFill>
            <a:schemeClr val="accent4">
              <a:tint val="65000"/>
            </a:schemeClr>
          </a:solidFill>
          <a:ln w="19050">
            <a:solidFill>
              <a:schemeClr val="lt1"/>
            </a:solidFill>
          </a:ln>
          <a:effectLst/>
        </c:spPr>
        <c:dLbl>
          <c:idx val="0"/>
          <c:layout>
            <c:manualLayout>
              <c:x val="-5.1119304531378022E-2"/>
              <c:y val="0.15630769230769231"/>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extLst>
            <c:ext xmlns:c15="http://schemas.microsoft.com/office/drawing/2012/chart" uri="{CE6537A1-D6FC-4f65-9D91-7224C49458BB}">
              <c15:layout>
                <c:manualLayout>
                  <c:w val="0.31640211640211635"/>
                  <c:h val="0.12805128205128205"/>
                </c:manualLayout>
              </c15:layout>
            </c:ext>
          </c:extLst>
        </c:dLbl>
      </c:pivotFmt>
      <c:pivotFmt>
        <c:idx val="14"/>
        <c:spPr>
          <a:solidFill>
            <a:schemeClr val="accent4">
              <a:tint val="86000"/>
            </a:schemeClr>
          </a:solidFill>
          <a:ln w="19050">
            <a:solidFill>
              <a:schemeClr val="lt1"/>
            </a:solidFill>
          </a:ln>
          <a:effectLst/>
        </c:spPr>
      </c:pivotFmt>
      <c:pivotFmt>
        <c:idx val="15"/>
        <c:spPr>
          <a:solidFill>
            <a:schemeClr val="accent4"/>
          </a:solidFill>
          <a:ln w="19050">
            <a:solidFill>
              <a:schemeClr val="lt1"/>
            </a:solidFill>
          </a:ln>
          <a:effectLst/>
        </c:spPr>
      </c:pivotFmt>
      <c:pivotFmt>
        <c:idx val="16"/>
        <c:spPr>
          <a:solidFill>
            <a:schemeClr val="accent4">
              <a:shade val="86000"/>
            </a:schemeClr>
          </a:solidFill>
          <a:ln w="19050">
            <a:solidFill>
              <a:schemeClr val="lt1"/>
            </a:solidFill>
          </a:ln>
          <a:effectLst/>
        </c:spPr>
      </c:pivotFmt>
      <c:pivotFmt>
        <c:idx val="17"/>
        <c:spPr>
          <a:solidFill>
            <a:schemeClr val="accent4">
              <a:shade val="72000"/>
            </a:schemeClr>
          </a:solidFill>
          <a:ln w="19050">
            <a:solidFill>
              <a:schemeClr val="lt1"/>
            </a:solidFill>
          </a:ln>
          <a:effectLst/>
        </c:spPr>
      </c:pivotFmt>
      <c:pivotFmt>
        <c:idx val="18"/>
        <c:spPr>
          <a:solidFill>
            <a:schemeClr val="accent4">
              <a:shade val="58000"/>
            </a:schemeClr>
          </a:solidFill>
          <a:ln w="19050">
            <a:solidFill>
              <a:schemeClr val="lt1"/>
            </a:solidFill>
          </a:ln>
          <a:effectLst/>
        </c:spPr>
      </c:pivotFmt>
      <c:pivotFmt>
        <c:idx val="19"/>
        <c:spPr>
          <a:solidFill>
            <a:schemeClr val="accent4">
              <a:shade val="44000"/>
            </a:schemeClr>
          </a:solidFill>
          <a:ln w="19050">
            <a:solidFill>
              <a:schemeClr val="lt1"/>
            </a:solidFill>
          </a:ln>
          <a:effectLst/>
        </c:spPr>
      </c:pivotFmt>
    </c:pivotFmts>
    <c:plotArea>
      <c:layout/>
      <c:doughnutChart>
        <c:varyColors val="1"/>
        <c:ser>
          <c:idx val="0"/>
          <c:order val="0"/>
          <c:tx>
            <c:strRef>
              <c:f>'🧮 Analysis'!$S$6</c:f>
              <c:strCache>
                <c:ptCount val="1"/>
                <c:pt idx="0">
                  <c:v>Total</c:v>
                </c:pt>
              </c:strCache>
            </c:strRef>
          </c:tx>
          <c:dPt>
            <c:idx val="0"/>
            <c:bubble3D val="0"/>
            <c:spPr>
              <a:solidFill>
                <a:schemeClr val="accent4">
                  <a:tint val="65000"/>
                </a:schemeClr>
              </a:solidFill>
              <a:ln w="19050">
                <a:solidFill>
                  <a:schemeClr val="lt1"/>
                </a:solidFill>
              </a:ln>
              <a:effectLst/>
            </c:spPr>
            <c:extLst>
              <c:ext xmlns:c16="http://schemas.microsoft.com/office/drawing/2014/chart" uri="{C3380CC4-5D6E-409C-BE32-E72D297353CC}">
                <c16:uniqueId val="{00000001-35DF-45E3-8B77-7A2E69DCC31D}"/>
              </c:ext>
            </c:extLst>
          </c:dPt>
          <c:dPt>
            <c:idx val="1"/>
            <c:bubble3D val="0"/>
            <c:spPr>
              <a:solidFill>
                <a:schemeClr val="accent4">
                  <a:tint val="58000"/>
                </a:schemeClr>
              </a:solidFill>
              <a:ln w="19050">
                <a:solidFill>
                  <a:schemeClr val="lt1"/>
                </a:solidFill>
              </a:ln>
              <a:effectLst/>
            </c:spPr>
            <c:extLst>
              <c:ext xmlns:c16="http://schemas.microsoft.com/office/drawing/2014/chart" uri="{C3380CC4-5D6E-409C-BE32-E72D297353CC}">
                <c16:uniqueId val="{00000003-35DF-45E3-8B77-7A2E69DCC31D}"/>
              </c:ext>
            </c:extLst>
          </c:dPt>
          <c:dPt>
            <c:idx val="2"/>
            <c:bubble3D val="0"/>
            <c:spPr>
              <a:solidFill>
                <a:schemeClr val="accent4">
                  <a:shade val="65000"/>
                </a:schemeClr>
              </a:solidFill>
              <a:ln w="19050">
                <a:solidFill>
                  <a:schemeClr val="lt1"/>
                </a:solidFill>
              </a:ln>
              <a:effectLst/>
            </c:spPr>
            <c:extLst>
              <c:ext xmlns:c16="http://schemas.microsoft.com/office/drawing/2014/chart" uri="{C3380CC4-5D6E-409C-BE32-E72D297353CC}">
                <c16:uniqueId val="{00000005-35DF-45E3-8B77-7A2E69DCC31D}"/>
              </c:ext>
            </c:extLst>
          </c:dPt>
          <c:dPt>
            <c:idx val="3"/>
            <c:bubble3D val="0"/>
            <c:spPr>
              <a:solidFill>
                <a:schemeClr val="accent4">
                  <a:tint val="86000"/>
                </a:schemeClr>
              </a:solidFill>
              <a:ln w="19050">
                <a:solidFill>
                  <a:schemeClr val="lt1"/>
                </a:solidFill>
              </a:ln>
              <a:effectLst/>
            </c:spPr>
            <c:extLst>
              <c:ext xmlns:c16="http://schemas.microsoft.com/office/drawing/2014/chart" uri="{C3380CC4-5D6E-409C-BE32-E72D297353CC}">
                <c16:uniqueId val="{00000007-35DF-45E3-8B77-7A2E69DCC31D}"/>
              </c:ext>
            </c:extLst>
          </c:dPt>
          <c:dPt>
            <c:idx val="4"/>
            <c:bubble3D val="0"/>
            <c:spPr>
              <a:solidFill>
                <a:schemeClr val="accent4"/>
              </a:solidFill>
              <a:ln w="19050">
                <a:solidFill>
                  <a:schemeClr val="lt1"/>
                </a:solidFill>
              </a:ln>
              <a:effectLst/>
            </c:spPr>
            <c:extLst>
              <c:ext xmlns:c16="http://schemas.microsoft.com/office/drawing/2014/chart" uri="{C3380CC4-5D6E-409C-BE32-E72D297353CC}">
                <c16:uniqueId val="{00000009-35DF-45E3-8B77-7A2E69DCC31D}"/>
              </c:ext>
            </c:extLst>
          </c:dPt>
          <c:dPt>
            <c:idx val="5"/>
            <c:bubble3D val="0"/>
            <c:spPr>
              <a:solidFill>
                <a:schemeClr val="accent4">
                  <a:shade val="86000"/>
                </a:schemeClr>
              </a:solidFill>
              <a:ln w="19050">
                <a:solidFill>
                  <a:schemeClr val="lt1"/>
                </a:solidFill>
              </a:ln>
              <a:effectLst/>
            </c:spPr>
            <c:extLst>
              <c:ext xmlns:c16="http://schemas.microsoft.com/office/drawing/2014/chart" uri="{C3380CC4-5D6E-409C-BE32-E72D297353CC}">
                <c16:uniqueId val="{0000000B-35DF-45E3-8B77-7A2E69DCC31D}"/>
              </c:ext>
            </c:extLst>
          </c:dPt>
          <c:dPt>
            <c:idx val="6"/>
            <c:bubble3D val="0"/>
            <c:spPr>
              <a:solidFill>
                <a:schemeClr val="accent4">
                  <a:shade val="72000"/>
                </a:schemeClr>
              </a:solidFill>
              <a:ln w="19050">
                <a:solidFill>
                  <a:schemeClr val="lt1"/>
                </a:solidFill>
              </a:ln>
              <a:effectLst/>
            </c:spPr>
            <c:extLst>
              <c:ext xmlns:c16="http://schemas.microsoft.com/office/drawing/2014/chart" uri="{C3380CC4-5D6E-409C-BE32-E72D297353CC}">
                <c16:uniqueId val="{0000000D-35DF-45E3-8B77-7A2E69DCC31D}"/>
              </c:ext>
            </c:extLst>
          </c:dPt>
          <c:dPt>
            <c:idx val="7"/>
            <c:bubble3D val="0"/>
            <c:spPr>
              <a:solidFill>
                <a:schemeClr val="accent4">
                  <a:shade val="58000"/>
                </a:schemeClr>
              </a:solidFill>
              <a:ln w="19050">
                <a:solidFill>
                  <a:schemeClr val="lt1"/>
                </a:solidFill>
              </a:ln>
              <a:effectLst/>
            </c:spPr>
            <c:extLst>
              <c:ext xmlns:c16="http://schemas.microsoft.com/office/drawing/2014/chart" uri="{C3380CC4-5D6E-409C-BE32-E72D297353CC}">
                <c16:uniqueId val="{0000000F-35DF-45E3-8B77-7A2E69DCC31D}"/>
              </c:ext>
            </c:extLst>
          </c:dPt>
          <c:dPt>
            <c:idx val="8"/>
            <c:bubble3D val="0"/>
            <c:spPr>
              <a:solidFill>
                <a:schemeClr val="accent4">
                  <a:shade val="44000"/>
                </a:schemeClr>
              </a:solidFill>
              <a:ln w="19050">
                <a:solidFill>
                  <a:schemeClr val="lt1"/>
                </a:solidFill>
              </a:ln>
              <a:effectLst/>
            </c:spPr>
            <c:extLst>
              <c:ext xmlns:c16="http://schemas.microsoft.com/office/drawing/2014/chart" uri="{C3380CC4-5D6E-409C-BE32-E72D297353CC}">
                <c16:uniqueId val="{00000011-35DF-45E3-8B77-7A2E69DCC31D}"/>
              </c:ext>
            </c:extLst>
          </c:dPt>
          <c:dLbls>
            <c:dLbl>
              <c:idx val="0"/>
              <c:layout>
                <c:manualLayout>
                  <c:x val="-5.1119304531378022E-2"/>
                  <c:y val="0.15630769230769231"/>
                </c:manualLayout>
              </c:layout>
              <c:showLegendKey val="0"/>
              <c:showVal val="1"/>
              <c:showCatName val="1"/>
              <c:showSerName val="0"/>
              <c:showPercent val="0"/>
              <c:showBubbleSize val="0"/>
              <c:extLst>
                <c:ext xmlns:c15="http://schemas.microsoft.com/office/drawing/2012/chart" uri="{CE6537A1-D6FC-4f65-9D91-7224C49458BB}">
                  <c15:layout>
                    <c:manualLayout>
                      <c:w val="0.31640211640211635"/>
                      <c:h val="0.12805128205128205"/>
                    </c:manualLayout>
                  </c15:layout>
                </c:ext>
                <c:ext xmlns:c16="http://schemas.microsoft.com/office/drawing/2014/chart" uri="{C3380CC4-5D6E-409C-BE32-E72D297353CC}">
                  <c16:uniqueId val="{00000001-35DF-45E3-8B77-7A2E69DCC31D}"/>
                </c:ext>
              </c:extLst>
            </c:dLbl>
            <c:dLbl>
              <c:idx val="1"/>
              <c:layout>
                <c:manualLayout>
                  <c:x val="-0.16779263703148217"/>
                  <c:y val="-0.10662547950736927"/>
                </c:manualLayout>
              </c:layout>
              <c:showLegendKey val="0"/>
              <c:showVal val="1"/>
              <c:showCatName val="1"/>
              <c:showSerName val="0"/>
              <c:showPercent val="0"/>
              <c:showBubbleSize val="0"/>
              <c:extLst>
                <c:ext xmlns:c15="http://schemas.microsoft.com/office/drawing/2012/chart" uri="{CE6537A1-D6FC-4f65-9D91-7224C49458BB}">
                  <c15:layout>
                    <c:manualLayout>
                      <c:w val="0.43705453484981044"/>
                      <c:h val="0.12805128205128205"/>
                    </c:manualLayout>
                  </c15:layout>
                </c:ext>
                <c:ext xmlns:c16="http://schemas.microsoft.com/office/drawing/2014/chart" uri="{C3380CC4-5D6E-409C-BE32-E72D297353CC}">
                  <c16:uniqueId val="{00000003-35DF-45E3-8B77-7A2E69DCC31D}"/>
                </c:ext>
              </c:extLst>
            </c:dLbl>
            <c:dLbl>
              <c:idx val="2"/>
              <c:layout>
                <c:manualLayout>
                  <c:x val="7.5702203891180264E-2"/>
                  <c:y val="-0.14518958207147184"/>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DF-45E3-8B77-7A2E69DCC3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Analysis'!$R$7:$R$15</c:f>
              <c:strCache>
                <c:ptCount val="9"/>
                <c:pt idx="0">
                  <c:v>Salary</c:v>
                </c:pt>
                <c:pt idx="1">
                  <c:v>Dividends</c:v>
                </c:pt>
                <c:pt idx="2">
                  <c:v>Interest</c:v>
                </c:pt>
                <c:pt idx="3">
                  <c:v>Business Inc</c:v>
                </c:pt>
                <c:pt idx="4">
                  <c:v>Gift Contribution</c:v>
                </c:pt>
                <c:pt idx="5">
                  <c:v>Investment Inc</c:v>
                </c:pt>
                <c:pt idx="6">
                  <c:v>Rental Income</c:v>
                </c:pt>
                <c:pt idx="7">
                  <c:v>Ad Revenue</c:v>
                </c:pt>
                <c:pt idx="8">
                  <c:v>AirBnb Inc</c:v>
                </c:pt>
              </c:strCache>
            </c:strRef>
          </c:cat>
          <c:val>
            <c:numRef>
              <c:f>'🧮 Analysis'!$S$7:$S$15</c:f>
              <c:numCache>
                <c:formatCode>"£"#,##0_);\("£"#,##0\)</c:formatCode>
                <c:ptCount val="9"/>
                <c:pt idx="0">
                  <c:v>40000</c:v>
                </c:pt>
                <c:pt idx="1">
                  <c:v>2950</c:v>
                </c:pt>
                <c:pt idx="2">
                  <c:v>395</c:v>
                </c:pt>
              </c:numCache>
            </c:numRef>
          </c:val>
          <c:extLst>
            <c:ext xmlns:c16="http://schemas.microsoft.com/office/drawing/2014/chart" uri="{C3380CC4-5D6E-409C-BE32-E72D297353CC}">
              <c16:uniqueId val="{00000012-9511-4FA9-A6DB-989916C80E9B}"/>
            </c:ext>
          </c:extLst>
        </c:ser>
        <c:dLbls>
          <c:showLegendKey val="0"/>
          <c:showVal val="1"/>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[CFA_Ultimate Budget.xlsx]🧮 Analysis!Debt</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Debt Repayment</a:t>
            </a:r>
            <a:endParaRPr lang="en-GB" baseline="0"/>
          </a:p>
        </c:rich>
      </c:tx>
      <c:layout>
        <c:manualLayout>
          <c:xMode val="edge"/>
          <c:yMode val="edge"/>
          <c:x val="3.1419307880632567E-2"/>
          <c:y val="4.62962962962962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9525">
            <a:solidFill>
              <a:schemeClr val="accent6">
                <a:lumMod val="60000"/>
                <a:lumOff val="4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4">
              <a:lumMod val="40000"/>
              <a:lumOff val="60000"/>
            </a:schemeClr>
          </a:solidFill>
          <a:ln w="12700">
            <a:solidFill>
              <a:schemeClr val="accent4">
                <a:lumMod val="40000"/>
                <a:lumOff val="60000"/>
              </a:schemeClr>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noFill/>
          <a:ln w="9525">
            <a:solidFill>
              <a:schemeClr val="accent6">
                <a:lumMod val="60000"/>
                <a:lumOff val="40000"/>
              </a:schemeClr>
            </a:solidFill>
          </a:ln>
          <a:effectLst/>
        </c:spPr>
      </c:pivotFmt>
    </c:pivotFmts>
    <c:plotArea>
      <c:layout/>
      <c:barChart>
        <c:barDir val="bar"/>
        <c:grouping val="clustered"/>
        <c:varyColors val="0"/>
        <c:ser>
          <c:idx val="0"/>
          <c:order val="0"/>
          <c:tx>
            <c:strRef>
              <c:f>'🧮 Analysis'!$D$25</c:f>
              <c:strCache>
                <c:ptCount val="1"/>
                <c:pt idx="0">
                  <c:v>Loan Amount</c:v>
                </c:pt>
              </c:strCache>
            </c:strRef>
          </c:tx>
          <c:spPr>
            <a:noFill/>
            <a:ln w="9525">
              <a:solidFill>
                <a:schemeClr val="accent6">
                  <a:lumMod val="60000"/>
                  <a:lumOff val="40000"/>
                </a:schemeClr>
              </a:solidFill>
            </a:ln>
            <a:effectLst/>
          </c:spPr>
          <c:invertIfNegative val="0"/>
          <c:cat>
            <c:strRef>
              <c:f>'🧮 Analysis'!$C$26:$C$32</c:f>
              <c:strCache>
                <c:ptCount val="6"/>
                <c:pt idx="0">
                  <c:v>💳 C. Card 3</c:v>
                </c:pt>
                <c:pt idx="1">
                  <c:v>👮 Pers Loan 2</c:v>
                </c:pt>
                <c:pt idx="2">
                  <c:v>💳 C. Card 2</c:v>
                </c:pt>
                <c:pt idx="3">
                  <c:v>🚗  Car Finance</c:v>
                </c:pt>
                <c:pt idx="4">
                  <c:v>💳 C. Card 1</c:v>
                </c:pt>
                <c:pt idx="5">
                  <c:v>👮 Pers Loan 1</c:v>
                </c:pt>
              </c:strCache>
            </c:strRef>
          </c:cat>
          <c:val>
            <c:numRef>
              <c:f>'🧮 Analysis'!$D$26:$D$32</c:f>
              <c:numCache>
                <c:formatCode>"£"#,##0_);\("£"#,##0\)</c:formatCode>
                <c:ptCount val="6"/>
                <c:pt idx="0">
                  <c:v>3000</c:v>
                </c:pt>
                <c:pt idx="1">
                  <c:v>10000</c:v>
                </c:pt>
                <c:pt idx="2">
                  <c:v>10000</c:v>
                </c:pt>
                <c:pt idx="3">
                  <c:v>18000</c:v>
                </c:pt>
                <c:pt idx="4">
                  <c:v>23000</c:v>
                </c:pt>
                <c:pt idx="5">
                  <c:v>90000</c:v>
                </c:pt>
              </c:numCache>
            </c:numRef>
          </c:val>
          <c:extLst>
            <c:ext xmlns:c16="http://schemas.microsoft.com/office/drawing/2014/chart" uri="{C3380CC4-5D6E-409C-BE32-E72D297353CC}">
              <c16:uniqueId val="{00000000-B64D-4320-BA3C-AB35E9D9AF7C}"/>
            </c:ext>
          </c:extLst>
        </c:ser>
        <c:ser>
          <c:idx val="1"/>
          <c:order val="1"/>
          <c:tx>
            <c:strRef>
              <c:f>'🧮 Analysis'!$E$25</c:f>
              <c:strCache>
                <c:ptCount val="1"/>
                <c:pt idx="0">
                  <c:v>Repaid</c:v>
                </c:pt>
              </c:strCache>
            </c:strRef>
          </c:tx>
          <c:spPr>
            <a:solidFill>
              <a:schemeClr val="accent4">
                <a:lumMod val="40000"/>
                <a:lumOff val="60000"/>
              </a:schemeClr>
            </a:solidFill>
            <a:ln w="12700">
              <a:solidFill>
                <a:schemeClr val="accent4">
                  <a:lumMod val="40000"/>
                  <a:lumOff val="60000"/>
                </a:schemeClr>
              </a:solidFill>
            </a:ln>
            <a:effectLst/>
          </c:spPr>
          <c:invertIfNegative val="0"/>
          <c:cat>
            <c:strRef>
              <c:f>'🧮 Analysis'!$C$26:$C$32</c:f>
              <c:strCache>
                <c:ptCount val="6"/>
                <c:pt idx="0">
                  <c:v>💳 C. Card 3</c:v>
                </c:pt>
                <c:pt idx="1">
                  <c:v>👮 Pers Loan 2</c:v>
                </c:pt>
                <c:pt idx="2">
                  <c:v>💳 C. Card 2</c:v>
                </c:pt>
                <c:pt idx="3">
                  <c:v>🚗  Car Finance</c:v>
                </c:pt>
                <c:pt idx="4">
                  <c:v>💳 C. Card 1</c:v>
                </c:pt>
                <c:pt idx="5">
                  <c:v>👮 Pers Loan 1</c:v>
                </c:pt>
              </c:strCache>
            </c:strRef>
          </c:cat>
          <c:val>
            <c:numRef>
              <c:f>'🧮 Analysis'!$E$26:$E$32</c:f>
              <c:numCache>
                <c:formatCode>"£"#,##0_);\("£"#,##0\)</c:formatCode>
                <c:ptCount val="6"/>
                <c:pt idx="0">
                  <c:v>1240</c:v>
                </c:pt>
                <c:pt idx="1">
                  <c:v>2000</c:v>
                </c:pt>
                <c:pt idx="2">
                  <c:v>2850</c:v>
                </c:pt>
                <c:pt idx="3">
                  <c:v>2500</c:v>
                </c:pt>
                <c:pt idx="4">
                  <c:v>12000</c:v>
                </c:pt>
                <c:pt idx="5">
                  <c:v>25000</c:v>
                </c:pt>
              </c:numCache>
            </c:numRef>
          </c:val>
          <c:extLst>
            <c:ext xmlns:c16="http://schemas.microsoft.com/office/drawing/2014/chart" uri="{C3380CC4-5D6E-409C-BE32-E72D297353CC}">
              <c16:uniqueId val="{00000001-B64D-4320-BA3C-AB35E9D9AF7C}"/>
            </c:ext>
          </c:extLst>
        </c:ser>
        <c:dLbls>
          <c:showLegendKey val="0"/>
          <c:showVal val="0"/>
          <c:showCatName val="0"/>
          <c:showSerName val="0"/>
          <c:showPercent val="0"/>
          <c:showBubbleSize val="0"/>
        </c:dLbls>
        <c:gapWidth val="50"/>
        <c:overlap val="100"/>
        <c:axId val="2008950768"/>
        <c:axId val="2008953648"/>
      </c:barChart>
      <c:catAx>
        <c:axId val="2008950768"/>
        <c:scaling>
          <c:orientation val="minMax"/>
        </c:scaling>
        <c:delete val="0"/>
        <c:axPos val="r"/>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8953648"/>
        <c:crosses val="autoZero"/>
        <c:auto val="1"/>
        <c:lblAlgn val="ctr"/>
        <c:lblOffset val="100"/>
        <c:noMultiLvlLbl val="0"/>
      </c:catAx>
      <c:valAx>
        <c:axId val="2008953648"/>
        <c:scaling>
          <c:orientation val="maxMin"/>
        </c:scaling>
        <c:delete val="0"/>
        <c:axPos val="b"/>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08950768"/>
        <c:crosses val="autoZero"/>
        <c:crossBetween val="between"/>
      </c:valAx>
      <c:spPr>
        <a:noFill/>
        <a:ln>
          <a:noFill/>
        </a:ln>
        <a:effectLst/>
      </c:spPr>
    </c:plotArea>
    <c:legend>
      <c:legendPos val="t"/>
      <c:layout>
        <c:manualLayout>
          <c:xMode val="edge"/>
          <c:yMode val="edge"/>
          <c:x val="0.55872399183634991"/>
          <c:y val="2.7809857101195684E-2"/>
          <c:w val="0.41329886003055588"/>
          <c:h val="8.928633920759906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Asset Ownership</a:t>
            </a:r>
          </a:p>
        </c:rich>
      </c:tx>
      <c:layout>
        <c:manualLayout>
          <c:xMode val="edge"/>
          <c:yMode val="edge"/>
          <c:x val="3.9645669291338552E-2"/>
          <c:y val="4.640371229698375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v>Equity</c:v>
          </c:tx>
          <c:spPr>
            <a:solidFill>
              <a:schemeClr val="accent4">
                <a:lumMod val="40000"/>
                <a:lumOff val="60000"/>
              </a:schemeClr>
            </a:solidFill>
            <a:ln>
              <a:noFill/>
            </a:ln>
            <a:effectLst/>
          </c:spPr>
          <c:invertIfNegative val="0"/>
          <c:cat>
            <c:strRef>
              <c:f>'🔒 Debts'!$B$12:$B$14</c:f>
              <c:strCache>
                <c:ptCount val="2"/>
                <c:pt idx="0">
                  <c:v>🏡 Personal Home</c:v>
                </c:pt>
                <c:pt idx="1">
                  <c:v>🏠 Rental Property 1</c:v>
                </c:pt>
              </c:strCache>
            </c:strRef>
          </c:cat>
          <c:val>
            <c:numRef>
              <c:f>'🔒 Debts'!$C$12:$C$14</c:f>
              <c:numCache>
                <c:formatCode>"£"#,##0_);[Red]\("£"#,##0\)</c:formatCode>
                <c:ptCount val="3"/>
                <c:pt idx="0">
                  <c:v>900000</c:v>
                </c:pt>
                <c:pt idx="1">
                  <c:v>375000</c:v>
                </c:pt>
              </c:numCache>
            </c:numRef>
          </c:val>
          <c:extLst>
            <c:ext xmlns:c16="http://schemas.microsoft.com/office/drawing/2014/chart" uri="{C3380CC4-5D6E-409C-BE32-E72D297353CC}">
              <c16:uniqueId val="{00000000-A139-4DE6-A334-84FD91650C45}"/>
            </c:ext>
          </c:extLst>
        </c:ser>
        <c:ser>
          <c:idx val="1"/>
          <c:order val="1"/>
          <c:tx>
            <c:v>Debt</c:v>
          </c:tx>
          <c:spPr>
            <a:solidFill>
              <a:schemeClr val="accent6">
                <a:lumMod val="60000"/>
                <a:lumOff val="40000"/>
              </a:schemeClr>
            </a:solidFill>
            <a:ln w="0">
              <a:noFill/>
            </a:ln>
            <a:effectLst/>
          </c:spPr>
          <c:invertIfNegative val="0"/>
          <c:cat>
            <c:strRef>
              <c:f>'🔒 Debts'!$B$12:$B$14</c:f>
              <c:strCache>
                <c:ptCount val="2"/>
                <c:pt idx="0">
                  <c:v>🏡 Personal Home</c:v>
                </c:pt>
                <c:pt idx="1">
                  <c:v>🏠 Rental Property 1</c:v>
                </c:pt>
              </c:strCache>
            </c:strRef>
          </c:cat>
          <c:val>
            <c:numRef>
              <c:f>'🔒 Debts'!$D$12:$D$14</c:f>
              <c:numCache>
                <c:formatCode>"£"#,##0_);\("£"#,##0\)</c:formatCode>
                <c:ptCount val="3"/>
                <c:pt idx="0">
                  <c:v>345000</c:v>
                </c:pt>
                <c:pt idx="1">
                  <c:v>240000</c:v>
                </c:pt>
              </c:numCache>
            </c:numRef>
          </c:val>
          <c:extLst>
            <c:ext xmlns:c16="http://schemas.microsoft.com/office/drawing/2014/chart" uri="{C3380CC4-5D6E-409C-BE32-E72D297353CC}">
              <c16:uniqueId val="{00000001-A139-4DE6-A334-84FD91650C45}"/>
            </c:ext>
          </c:extLst>
        </c:ser>
        <c:dLbls>
          <c:showLegendKey val="0"/>
          <c:showVal val="0"/>
          <c:showCatName val="0"/>
          <c:showSerName val="0"/>
          <c:showPercent val="0"/>
          <c:showBubbleSize val="0"/>
        </c:dLbls>
        <c:gapWidth val="50"/>
        <c:overlap val="100"/>
        <c:axId val="98368608"/>
        <c:axId val="98366688"/>
      </c:barChart>
      <c:catAx>
        <c:axId val="983686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366688"/>
        <c:crosses val="autoZero"/>
        <c:auto val="1"/>
        <c:lblAlgn val="ctr"/>
        <c:lblOffset val="100"/>
        <c:noMultiLvlLbl val="0"/>
      </c:catAx>
      <c:valAx>
        <c:axId val="98366688"/>
        <c:scaling>
          <c:orientation val="minMax"/>
        </c:scaling>
        <c:delete val="0"/>
        <c:axPos val="b"/>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8368608"/>
        <c:crosses val="autoZero"/>
        <c:crossBetween val="between"/>
      </c:valAx>
      <c:spPr>
        <a:noFill/>
        <a:ln>
          <a:noFill/>
        </a:ln>
        <a:effectLst/>
      </c:spPr>
    </c:plotArea>
    <c:legend>
      <c:legendPos val="r"/>
      <c:layout>
        <c:manualLayout>
          <c:xMode val="edge"/>
          <c:yMode val="edge"/>
          <c:x val="0.57323162729658794"/>
          <c:y val="4.2682522955120296E-2"/>
          <c:w val="0.35176837270341205"/>
          <c:h val="0.15518625154910803"/>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[CFA_Ultimate Budget.xlsx]💰 Savings!ptSavingsMonthly</c:name>
    <c:fmtId val="6"/>
  </c:pivotSource>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AU" sz="1100"/>
              <a:t>Cumulative Savings vs Goal</a:t>
            </a:r>
          </a:p>
        </c:rich>
      </c:tx>
      <c:layout>
        <c:manualLayout>
          <c:xMode val="edge"/>
          <c:yMode val="edge"/>
          <c:x val="1.5520000639189513E-2"/>
          <c:y val="2.7777777777777776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noFill/>
          <a:ln w="15875">
            <a:solidFill>
              <a:schemeClr val="accen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noFill/>
          <a:ln w="22225">
            <a:solidFill>
              <a:schemeClr val="accent3"/>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4">
              <a:lumMod val="60000"/>
              <a:lumOff val="40000"/>
            </a:schemeClr>
          </a:solidFill>
          <a:ln w="63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4">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060661417322834"/>
          <c:y val="0.18039406532516766"/>
          <c:w val="0.87178624671916016"/>
          <c:h val="0.62461395450568669"/>
        </c:manualLayout>
      </c:layout>
      <c:barChart>
        <c:barDir val="col"/>
        <c:grouping val="clustered"/>
        <c:varyColors val="0"/>
        <c:ser>
          <c:idx val="0"/>
          <c:order val="0"/>
          <c:tx>
            <c:strRef>
              <c:f>'💰 Savings'!$K$27</c:f>
              <c:strCache>
                <c:ptCount val="1"/>
                <c:pt idx="0">
                  <c:v>Saved </c:v>
                </c:pt>
              </c:strCache>
            </c:strRef>
          </c:tx>
          <c:spPr>
            <a:solidFill>
              <a:schemeClr val="accent4">
                <a:lumMod val="40000"/>
                <a:lumOff val="60000"/>
              </a:schemeClr>
            </a:solidFill>
            <a:ln>
              <a:noFill/>
            </a:ln>
            <a:effectLst/>
          </c:spPr>
          <c:invertIfNegative val="0"/>
          <c:cat>
            <c:multiLvlStrRef>
              <c:f>'💰 Savings'!$J$28:$J$40</c:f>
              <c:multiLvlStrCache>
                <c:ptCount val="12"/>
                <c:lvl>
                  <c:pt idx="0">
                    <c:v>Jan</c:v>
                  </c:pt>
                  <c:pt idx="1">
                    <c:v>Feb</c:v>
                  </c:pt>
                  <c:pt idx="2">
                    <c:v>Mar</c:v>
                  </c:pt>
                  <c:pt idx="3">
                    <c:v>Apr</c:v>
                  </c:pt>
                  <c:pt idx="4">
                    <c:v>May</c:v>
                  </c:pt>
                  <c:pt idx="5">
                    <c:v>Jun</c:v>
                  </c:pt>
                  <c:pt idx="6">
                    <c:v>Jul</c:v>
                  </c:pt>
                  <c:pt idx="7">
                    <c:v>Aug</c:v>
                  </c:pt>
                  <c:pt idx="8">
                    <c:v>Sep</c:v>
                  </c:pt>
                  <c:pt idx="9">
                    <c:v>Oct</c:v>
                  </c:pt>
                  <c:pt idx="10">
                    <c:v>Nov</c:v>
                  </c:pt>
                  <c:pt idx="11">
                    <c:v>Dec</c:v>
                  </c:pt>
                </c:lvl>
                <c:lvl>
                  <c:pt idx="0">
                    <c:v>2026</c:v>
                  </c:pt>
                </c:lvl>
              </c:multiLvlStrCache>
            </c:multiLvlStrRef>
          </c:cat>
          <c:val>
            <c:numRef>
              <c:f>'💰 Savings'!$K$28:$K$40</c:f>
              <c:numCache>
                <c:formatCode>#,##0</c:formatCode>
                <c:ptCount val="12"/>
                <c:pt idx="0">
                  <c:v>900</c:v>
                </c:pt>
                <c:pt idx="1">
                  <c:v>1300</c:v>
                </c:pt>
                <c:pt idx="2">
                  <c:v>2150</c:v>
                </c:pt>
                <c:pt idx="3">
                  <c:v>2450</c:v>
                </c:pt>
                <c:pt idx="4">
                  <c:v>3000</c:v>
                </c:pt>
                <c:pt idx="5">
                  <c:v>3630</c:v>
                </c:pt>
                <c:pt idx="6">
                  <c:v>4230</c:v>
                </c:pt>
                <c:pt idx="7">
                  <c:v>4670</c:v>
                </c:pt>
                <c:pt idx="8">
                  <c:v>5370</c:v>
                </c:pt>
                <c:pt idx="9">
                  <c:v>6010</c:v>
                </c:pt>
                <c:pt idx="10">
                  <c:v>7130</c:v>
                </c:pt>
                <c:pt idx="11">
                  <c:v>8130</c:v>
                </c:pt>
              </c:numCache>
            </c:numRef>
          </c:val>
          <c:extLst>
            <c:ext xmlns:c16="http://schemas.microsoft.com/office/drawing/2014/chart" uri="{C3380CC4-5D6E-409C-BE32-E72D297353CC}">
              <c16:uniqueId val="{00000000-CAA0-46E8-B6FD-F61EE3328C29}"/>
            </c:ext>
          </c:extLst>
        </c:ser>
        <c:ser>
          <c:idx val="1"/>
          <c:order val="1"/>
          <c:tx>
            <c:strRef>
              <c:f>'💰 Savings'!$L$27</c:f>
              <c:strCache>
                <c:ptCount val="1"/>
                <c:pt idx="0">
                  <c:v>Goal </c:v>
                </c:pt>
              </c:strCache>
            </c:strRef>
          </c:tx>
          <c:spPr>
            <a:noFill/>
            <a:ln w="22225">
              <a:solidFill>
                <a:schemeClr val="accent3"/>
              </a:solidFill>
            </a:ln>
            <a:effectLst/>
          </c:spPr>
          <c:invertIfNegative val="0"/>
          <c:cat>
            <c:multiLvlStrRef>
              <c:f>'💰 Savings'!$J$28:$J$40</c:f>
              <c:multiLvlStrCache>
                <c:ptCount val="12"/>
                <c:lvl>
                  <c:pt idx="0">
                    <c:v>Jan</c:v>
                  </c:pt>
                  <c:pt idx="1">
                    <c:v>Feb</c:v>
                  </c:pt>
                  <c:pt idx="2">
                    <c:v>Mar</c:v>
                  </c:pt>
                  <c:pt idx="3">
                    <c:v>Apr</c:v>
                  </c:pt>
                  <c:pt idx="4">
                    <c:v>May</c:v>
                  </c:pt>
                  <c:pt idx="5">
                    <c:v>Jun</c:v>
                  </c:pt>
                  <c:pt idx="6">
                    <c:v>Jul</c:v>
                  </c:pt>
                  <c:pt idx="7">
                    <c:v>Aug</c:v>
                  </c:pt>
                  <c:pt idx="8">
                    <c:v>Sep</c:v>
                  </c:pt>
                  <c:pt idx="9">
                    <c:v>Oct</c:v>
                  </c:pt>
                  <c:pt idx="10">
                    <c:v>Nov</c:v>
                  </c:pt>
                  <c:pt idx="11">
                    <c:v>Dec</c:v>
                  </c:pt>
                </c:lvl>
                <c:lvl>
                  <c:pt idx="0">
                    <c:v>2026</c:v>
                  </c:pt>
                </c:lvl>
              </c:multiLvlStrCache>
            </c:multiLvlStrRef>
          </c:cat>
          <c:val>
            <c:numRef>
              <c:f>'💰 Savings'!$L$28:$L$40</c:f>
              <c:numCache>
                <c:formatCode>#,##0</c:formatCode>
                <c:ptCount val="12"/>
                <c:pt idx="0">
                  <c:v>1500</c:v>
                </c:pt>
                <c:pt idx="1">
                  <c:v>3000</c:v>
                </c:pt>
                <c:pt idx="2">
                  <c:v>4500</c:v>
                </c:pt>
                <c:pt idx="3">
                  <c:v>6000</c:v>
                </c:pt>
                <c:pt idx="4">
                  <c:v>7500</c:v>
                </c:pt>
                <c:pt idx="5">
                  <c:v>9000</c:v>
                </c:pt>
                <c:pt idx="6">
                  <c:v>10500</c:v>
                </c:pt>
                <c:pt idx="7">
                  <c:v>12000</c:v>
                </c:pt>
                <c:pt idx="8">
                  <c:v>13500</c:v>
                </c:pt>
                <c:pt idx="9">
                  <c:v>15000</c:v>
                </c:pt>
                <c:pt idx="10">
                  <c:v>16500</c:v>
                </c:pt>
                <c:pt idx="11">
                  <c:v>18000</c:v>
                </c:pt>
              </c:numCache>
            </c:numRef>
          </c:val>
          <c:extLst>
            <c:ext xmlns:c16="http://schemas.microsoft.com/office/drawing/2014/chart" uri="{C3380CC4-5D6E-409C-BE32-E72D297353CC}">
              <c16:uniqueId val="{00000001-CAA0-46E8-B6FD-F61EE3328C29}"/>
            </c:ext>
          </c:extLst>
        </c:ser>
        <c:dLbls>
          <c:showLegendKey val="0"/>
          <c:showVal val="0"/>
          <c:showCatName val="0"/>
          <c:showSerName val="0"/>
          <c:showPercent val="0"/>
          <c:showBubbleSize val="0"/>
        </c:dLbls>
        <c:gapWidth val="50"/>
        <c:overlap val="100"/>
        <c:axId val="1749560031"/>
        <c:axId val="656882047"/>
      </c:barChart>
      <c:catAx>
        <c:axId val="17495600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6882047"/>
        <c:crosses val="autoZero"/>
        <c:auto val="1"/>
        <c:lblAlgn val="ctr"/>
        <c:lblOffset val="100"/>
        <c:noMultiLvlLbl val="0"/>
      </c:catAx>
      <c:valAx>
        <c:axId val="6568820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956003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[CFA_Ultimate Budget.xlsx]💰 Savings!ptSavingsTotal</c:name>
    <c:fmtId val="8"/>
  </c:pivotSource>
  <c:chart>
    <c:title>
      <c:tx>
        <c:rich>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r>
              <a:rPr lang="en-AU" sz="1050"/>
              <a:t>Total Savings to</a:t>
            </a:r>
            <a:r>
              <a:rPr lang="en-AU" sz="1050" baseline="0"/>
              <a:t> Date</a:t>
            </a:r>
            <a:endParaRPr lang="en-AU" sz="1050"/>
          </a:p>
        </c:rich>
      </c:tx>
      <c:layout>
        <c:manualLayout>
          <c:xMode val="edge"/>
          <c:yMode val="edge"/>
          <c:x val="6.1043444196341126E-2"/>
          <c:y val="2.782579006892431E-2"/>
        </c:manualLayout>
      </c:layout>
      <c:overlay val="0"/>
      <c:spPr>
        <a:noFill/>
        <a:ln>
          <a:noFill/>
        </a:ln>
        <a:effectLst/>
      </c:spPr>
      <c:txPr>
        <a:bodyPr rot="0" spcFirstLastPara="1" vertOverflow="ellipsis" vert="horz" wrap="square" anchor="ctr" anchorCtr="1"/>
        <a:lstStyle/>
        <a:p>
          <a:pPr>
            <a:defRPr sz="1050" b="0" i="0" u="none" strike="noStrike" kern="1200" spc="0" baseline="0">
              <a:solidFill>
                <a:schemeClr val="tx1">
                  <a:lumMod val="65000"/>
                  <a:lumOff val="35000"/>
                </a:schemeClr>
              </a:solidFill>
              <a:latin typeface="+mn-lt"/>
              <a:ea typeface="+mn-ea"/>
              <a:cs typeface="+mn-cs"/>
            </a:defRPr>
          </a:pPr>
          <a:endParaRPr lang="en-AU"/>
        </a:p>
      </c:txPr>
    </c:title>
    <c:autoTitleDeleted val="0"/>
    <c:pivotFmts>
      <c:pivotFmt>
        <c:idx val="0"/>
        <c:spPr>
          <a:solidFill>
            <a:schemeClr val="accent4">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Lst>
        </c:dLbl>
      </c:pivotFmt>
      <c:pivotFmt>
        <c:idx val="1"/>
        <c:spPr>
          <a:noFill/>
          <a:ln w="15875">
            <a:solidFill>
              <a:schemeClr val="accent3"/>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3"/>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dLbl>
          <c:idx val="0"/>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accent3"/>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0.40099717592277723"/>
                  <c:h val="8.0521479953710812E-2"/>
                </c:manualLayout>
              </c15:layout>
            </c:ext>
          </c:extLst>
        </c:dLbl>
      </c:pivotFmt>
      <c:pivotFmt>
        <c:idx val="3"/>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15:layout>
                <c:manualLayout>
                  <c:w val="0.38965930735899812"/>
                  <c:h val="0.13259259259259257"/>
                </c:manualLayout>
              </c15:layout>
            </c:ext>
          </c:extLst>
        </c:dLbl>
      </c:pivotFmt>
      <c:pivotFmt>
        <c:idx val="4"/>
        <c:spPr>
          <a:noFill/>
          <a:ln w="15875">
            <a:solidFill>
              <a:schemeClr val="accent3"/>
            </a:solidFill>
          </a:ln>
          <a:effectLst/>
        </c:spPr>
        <c:dLbl>
          <c:idx val="0"/>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accent3"/>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0.24251905825204681"/>
                  <c:h val="0.22708234641401531"/>
                </c:manualLayout>
              </c15:layout>
            </c:ext>
          </c:extLst>
        </c:dLbl>
      </c:pivotFmt>
      <c:pivotFmt>
        <c:idx val="5"/>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15:layout>
                <c:manualLayout>
                  <c:w val="0.41056549554730776"/>
                  <c:h val="0.13282321265743924"/>
                </c:manualLayout>
              </c15:layout>
            </c:ext>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4">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4">
              <a:lumMod val="40000"/>
              <a:lumOff val="60000"/>
            </a:schemeClr>
          </a:solidFill>
          <a:ln>
            <a:noFill/>
          </a:ln>
          <a:effectLst/>
        </c:spPr>
        <c:dLbl>
          <c:idx val="0"/>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accent4">
                      <a:lumMod val="75000"/>
                    </a:schemeClr>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15:layout>
                <c:manualLayout>
                  <c:w val="0.20951055744897557"/>
                  <c:h val="0.17000362759533108"/>
                </c:manualLayout>
              </c15:layout>
            </c:ext>
          </c:extLst>
        </c:dLbl>
      </c:pivotFmt>
    </c:pivotFmts>
    <c:plotArea>
      <c:layout>
        <c:manualLayout>
          <c:layoutTarget val="inner"/>
          <c:xMode val="edge"/>
          <c:yMode val="edge"/>
          <c:x val="6.4947702432718302E-2"/>
          <c:y val="0.19634765166549303"/>
          <c:w val="0.82245514705818557"/>
          <c:h val="0.60724836224740197"/>
        </c:manualLayout>
      </c:layout>
      <c:barChart>
        <c:barDir val="bar"/>
        <c:grouping val="clustered"/>
        <c:varyColors val="0"/>
        <c:ser>
          <c:idx val="0"/>
          <c:order val="0"/>
          <c:tx>
            <c:strRef>
              <c:f>'💰 Savings'!$G$27</c:f>
              <c:strCache>
                <c:ptCount val="1"/>
                <c:pt idx="0">
                  <c:v>Saved </c:v>
                </c:pt>
              </c:strCache>
            </c:strRef>
          </c:tx>
          <c:spPr>
            <a:solidFill>
              <a:schemeClr val="accent4">
                <a:lumMod val="40000"/>
                <a:lumOff val="60000"/>
              </a:schemeClr>
            </a:solidFill>
            <a:ln>
              <a:noFill/>
            </a:ln>
            <a:effectLst/>
          </c:spPr>
          <c:invertIfNegative val="0"/>
          <c:dPt>
            <c:idx val="0"/>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04-E38F-478E-99F7-69F8D1E4AFFF}"/>
              </c:ext>
            </c:extLst>
          </c:dPt>
          <c:dLbls>
            <c:dLbl>
              <c:idx val="0"/>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accent4">
                          <a:lumMod val="75000"/>
                        </a:schemeClr>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15:layout>
                    <c:manualLayout>
                      <c:w val="0.20951055744897557"/>
                      <c:h val="0.17000362759533108"/>
                    </c:manualLayout>
                  </c15:layout>
                </c:ext>
                <c:ext xmlns:c16="http://schemas.microsoft.com/office/drawing/2014/chart" uri="{C3380CC4-5D6E-409C-BE32-E72D297353CC}">
                  <c16:uniqueId val="{00000004-E38F-478E-99F7-69F8D1E4AF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Savings'!$G$28</c:f>
              <c:strCache>
                <c:ptCount val="1"/>
                <c:pt idx="0">
                  <c:v>Total</c:v>
                </c:pt>
              </c:strCache>
            </c:strRef>
          </c:cat>
          <c:val>
            <c:numRef>
              <c:f>'💰 Savings'!$G$28</c:f>
              <c:numCache>
                <c:formatCode>#,##0</c:formatCode>
                <c:ptCount val="1"/>
                <c:pt idx="0">
                  <c:v>8130</c:v>
                </c:pt>
              </c:numCache>
            </c:numRef>
          </c:val>
          <c:extLst>
            <c:ext xmlns:c16="http://schemas.microsoft.com/office/drawing/2014/chart" uri="{C3380CC4-5D6E-409C-BE32-E72D297353CC}">
              <c16:uniqueId val="{00000000-E38F-478E-99F7-69F8D1E4AFFF}"/>
            </c:ext>
          </c:extLst>
        </c:ser>
        <c:ser>
          <c:idx val="1"/>
          <c:order val="1"/>
          <c:tx>
            <c:strRef>
              <c:f>'💰 Savings'!$H$27</c:f>
              <c:strCache>
                <c:ptCount val="1"/>
                <c:pt idx="0">
                  <c:v>Goal </c:v>
                </c:pt>
              </c:strCache>
            </c:strRef>
          </c:tx>
          <c:spPr>
            <a:noFill/>
            <a:ln w="15875">
              <a:solidFill>
                <a:schemeClr val="accent3"/>
              </a:solidFill>
            </a:ln>
            <a:effectLst/>
          </c:spPr>
          <c:invertIfNegative val="0"/>
          <c:dPt>
            <c:idx val="0"/>
            <c:invertIfNegative val="0"/>
            <c:bubble3D val="0"/>
            <c:spPr>
              <a:noFill/>
              <a:ln w="15875">
                <a:solidFill>
                  <a:schemeClr val="accent3"/>
                </a:solidFill>
              </a:ln>
              <a:effectLst/>
            </c:spPr>
            <c:extLst>
              <c:ext xmlns:c16="http://schemas.microsoft.com/office/drawing/2014/chart" uri="{C3380CC4-5D6E-409C-BE32-E72D297353CC}">
                <c16:uniqueId val="{00000008-E38F-478E-99F7-69F8D1E4AFFF}"/>
              </c:ext>
            </c:extLst>
          </c:dPt>
          <c:dLbls>
            <c:dLbl>
              <c:idx val="0"/>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chemeClr val="accent3"/>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15:layout>
                    <c:manualLayout>
                      <c:w val="0.24251905825204681"/>
                      <c:h val="0.22708234641401531"/>
                    </c:manualLayout>
                  </c15:layout>
                </c:ext>
                <c:ext xmlns:c16="http://schemas.microsoft.com/office/drawing/2014/chart" uri="{C3380CC4-5D6E-409C-BE32-E72D297353CC}">
                  <c16:uniqueId val="{00000008-E38F-478E-99F7-69F8D1E4AFF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3"/>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Savings'!$G$28</c:f>
              <c:strCache>
                <c:ptCount val="1"/>
                <c:pt idx="0">
                  <c:v>Total</c:v>
                </c:pt>
              </c:strCache>
            </c:strRef>
          </c:cat>
          <c:val>
            <c:numRef>
              <c:f>'💰 Savings'!$H$28</c:f>
              <c:numCache>
                <c:formatCode>#,##0</c:formatCode>
                <c:ptCount val="1"/>
                <c:pt idx="0">
                  <c:v>18000</c:v>
                </c:pt>
              </c:numCache>
            </c:numRef>
          </c:val>
          <c:extLst>
            <c:ext xmlns:c16="http://schemas.microsoft.com/office/drawing/2014/chart" uri="{C3380CC4-5D6E-409C-BE32-E72D297353CC}">
              <c16:uniqueId val="{00000006-E38F-478E-99F7-69F8D1E4AFFF}"/>
            </c:ext>
          </c:extLst>
        </c:ser>
        <c:dLbls>
          <c:dLblPos val="outEnd"/>
          <c:showLegendKey val="0"/>
          <c:showVal val="1"/>
          <c:showCatName val="0"/>
          <c:showSerName val="0"/>
          <c:showPercent val="0"/>
          <c:showBubbleSize val="0"/>
        </c:dLbls>
        <c:gapWidth val="58"/>
        <c:overlap val="100"/>
        <c:axId val="1437760943"/>
        <c:axId val="1807085088"/>
      </c:barChart>
      <c:catAx>
        <c:axId val="1437760943"/>
        <c:scaling>
          <c:orientation val="minMax"/>
        </c:scaling>
        <c:delete val="1"/>
        <c:axPos val="l"/>
        <c:numFmt formatCode="General" sourceLinked="1"/>
        <c:majorTickMark val="none"/>
        <c:minorTickMark val="none"/>
        <c:tickLblPos val="nextTo"/>
        <c:crossAx val="1807085088"/>
        <c:crosses val="autoZero"/>
        <c:auto val="1"/>
        <c:lblAlgn val="ctr"/>
        <c:lblOffset val="100"/>
        <c:noMultiLvlLbl val="0"/>
      </c:catAx>
      <c:valAx>
        <c:axId val="1807085088"/>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776094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Savings by Account</a:t>
            </a:r>
          </a:p>
        </c:rich>
      </c:tx>
      <c:layout>
        <c:manualLayout>
          <c:xMode val="edge"/>
          <c:yMode val="edge"/>
          <c:x val="2.0659667541557288E-2"/>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4">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Lst>
        </c:dLbl>
      </c:pivotFmt>
      <c:pivotFmt>
        <c:idx val="1"/>
        <c:spPr>
          <a:noFill/>
          <a:ln w="22225">
            <a:solidFill>
              <a:schemeClr val="accent3"/>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7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6"/>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7"/>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s>
    <c:plotArea>
      <c:layout/>
      <c:barChart>
        <c:barDir val="col"/>
        <c:grouping val="clustered"/>
        <c:varyColors val="0"/>
        <c:ser>
          <c:idx val="0"/>
          <c:order val="0"/>
          <c:tx>
            <c:v>Sum of Saved</c:v>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Holiday Fund</c:v>
              </c:pt>
              <c:pt idx="1">
                <c:v>Savings Account</c:v>
              </c:pt>
              <c:pt idx="2">
                <c:v>SIPP Contribution</c:v>
              </c:pt>
            </c:strLit>
          </c:cat>
          <c:val>
            <c:numLit>
              <c:formatCode>General</c:formatCode>
              <c:ptCount val="3"/>
              <c:pt idx="0">
                <c:v>1650</c:v>
              </c:pt>
              <c:pt idx="1">
                <c:v>2080</c:v>
              </c:pt>
              <c:pt idx="2">
                <c:v>4400</c:v>
              </c:pt>
            </c:numLit>
          </c:val>
          <c:extLst>
            <c:ext xmlns:c16="http://schemas.microsoft.com/office/drawing/2014/chart" uri="{C3380CC4-5D6E-409C-BE32-E72D297353CC}">
              <c16:uniqueId val="{00000000-A203-483D-8418-5E5FF78C2B46}"/>
            </c:ext>
          </c:extLst>
        </c:ser>
        <c:ser>
          <c:idx val="1"/>
          <c:order val="1"/>
          <c:tx>
            <c:v>Sum of Goal</c:v>
          </c:tx>
          <c:spPr>
            <a:noFill/>
            <a:ln w="22225">
              <a:solidFill>
                <a:schemeClr val="accent3"/>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3">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Holiday Fund</c:v>
              </c:pt>
              <c:pt idx="1">
                <c:v>Savings Account</c:v>
              </c:pt>
              <c:pt idx="2">
                <c:v>SIPP Contribution</c:v>
              </c:pt>
            </c:strLit>
          </c:cat>
          <c:val>
            <c:numLit>
              <c:formatCode>General</c:formatCode>
              <c:ptCount val="3"/>
              <c:pt idx="0">
                <c:v>2400</c:v>
              </c:pt>
              <c:pt idx="1">
                <c:v>7800</c:v>
              </c:pt>
              <c:pt idx="2">
                <c:v>7800</c:v>
              </c:pt>
            </c:numLit>
          </c:val>
          <c:extLst>
            <c:ext xmlns:c16="http://schemas.microsoft.com/office/drawing/2014/chart" uri="{C3380CC4-5D6E-409C-BE32-E72D297353CC}">
              <c16:uniqueId val="{00000002-A203-483D-8418-5E5FF78C2B46}"/>
            </c:ext>
          </c:extLst>
        </c:ser>
        <c:dLbls>
          <c:showLegendKey val="0"/>
          <c:showVal val="0"/>
          <c:showCatName val="0"/>
          <c:showSerName val="0"/>
          <c:showPercent val="0"/>
          <c:showBubbleSize val="0"/>
        </c:dLbls>
        <c:gapWidth val="100"/>
        <c:overlap val="100"/>
        <c:axId val="1309341599"/>
        <c:axId val="1309342559"/>
      </c:barChart>
      <c:catAx>
        <c:axId val="1309341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9342559"/>
        <c:crosses val="autoZero"/>
        <c:auto val="1"/>
        <c:lblAlgn val="ctr"/>
        <c:lblOffset val="100"/>
        <c:noMultiLvlLbl val="0"/>
      </c:catAx>
      <c:valAx>
        <c:axId val="1309342559"/>
        <c:scaling>
          <c:orientation val="minMax"/>
        </c:scaling>
        <c:delete val="1"/>
        <c:axPos val="l"/>
        <c:numFmt formatCode="General" sourceLinked="1"/>
        <c:majorTickMark val="none"/>
        <c:minorTickMark val="none"/>
        <c:tickLblPos val="nextTo"/>
        <c:crossAx val="13093415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4">
  <a:schemeClr val="accent4"/>
</cs:colorStyle>
</file>

<file path=xl/charts/colors3.xml><?xml version="1.0" encoding="utf-8"?>
<cs:colorStyle xmlns:cs="http://schemas.microsoft.com/office/drawing/2012/chartStyle" xmlns:a="http://schemas.openxmlformats.org/drawingml/2006/main" meth="withinLinearReversed" id="24">
  <a:schemeClr val="accent4"/>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28274; Debts'!A2"/></Relationships>
</file>

<file path=xl/drawings/_rels/drawing10.xml.rels><?xml version="1.0" encoding="UTF-8" standalone="yes"?>
<Relationships xmlns="http://schemas.openxmlformats.org/package/2006/relationships"><Relationship Id="rId2" Type="http://schemas.openxmlformats.org/officeDocument/2006/relationships/image" Target="../media/image32.svg"/><Relationship Id="rId1" Type="http://schemas.openxmlformats.org/officeDocument/2006/relationships/image" Target="../media/image31.png"/></Relationships>
</file>

<file path=xl/drawings/_rels/drawing12.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https://www.linkedin.com/in/tom-lawrence-b0544355/" TargetMode="External"/><Relationship Id="rId7" Type="http://schemas.openxmlformats.org/officeDocument/2006/relationships/hyperlink" Target="https://www.tiktok.com/@tom.m.lawrence" TargetMode="External"/><Relationship Id="rId2" Type="http://schemas.openxmlformats.org/officeDocument/2006/relationships/image" Target="../media/image33.png"/><Relationship Id="rId1" Type="http://schemas.openxmlformats.org/officeDocument/2006/relationships/hyperlink" Target="https://www.youtube.com/@tom.m.lawrence" TargetMode="External"/><Relationship Id="rId6" Type="http://schemas.openxmlformats.org/officeDocument/2006/relationships/image" Target="../media/image35.png"/><Relationship Id="rId5" Type="http://schemas.openxmlformats.org/officeDocument/2006/relationships/hyperlink" Target="https://www.instagram.com/tom.m.lawrence/" TargetMode="External"/><Relationship Id="rId4" Type="http://schemas.openxmlformats.org/officeDocument/2006/relationships/image" Target="../media/image34.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129512; Debt Planner'!A1"/></Relationships>
</file>

<file path=xl/drawings/_rels/drawing3.xml.rels><?xml version="1.0" encoding="UTF-8" standalone="yes"?>
<Relationships xmlns="http://schemas.openxmlformats.org/package/2006/relationships"><Relationship Id="rId1" Type="http://schemas.openxmlformats.org/officeDocument/2006/relationships/hyperlink" Target="#'&#127969; Mortgage Calc'!A1"/></Relationships>
</file>

<file path=xl/drawings/_rels/drawing4.xml.rels><?xml version="1.0" encoding="UTF-8" standalone="yes"?>
<Relationships xmlns="http://schemas.openxmlformats.org/package/2006/relationships"><Relationship Id="rId1" Type="http://schemas.openxmlformats.org/officeDocument/2006/relationships/hyperlink" Target="#'&#129513; Categories'!A1"/></Relationships>
</file>

<file path=xl/drawings/_rels/drawing5.xml.rels><?xml version="1.0" encoding="UTF-8" standalone="yes"?>
<Relationships xmlns="http://schemas.openxmlformats.org/package/2006/relationships"><Relationship Id="rId3" Type="http://schemas.openxmlformats.org/officeDocument/2006/relationships/hyperlink" Target="#'&#127919; Budget'!A1"/><Relationship Id="rId2" Type="http://schemas.openxmlformats.org/officeDocument/2006/relationships/image" Target="../media/image6.sv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hyperlink" Target="#'&#127974; Transactions'!A1"/><Relationship Id="rId2" Type="http://schemas.openxmlformats.org/officeDocument/2006/relationships/image" Target="../media/image8.sv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hyperlink" Target="#'&#128202; Report'!A1"/><Relationship Id="rId2" Type="http://schemas.openxmlformats.org/officeDocument/2006/relationships/image" Target="../media/image10.sv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8" Type="http://schemas.openxmlformats.org/officeDocument/2006/relationships/image" Target="../media/image18.svg"/><Relationship Id="rId13" Type="http://schemas.openxmlformats.org/officeDocument/2006/relationships/image" Target="../media/image23.png"/><Relationship Id="rId18" Type="http://schemas.openxmlformats.org/officeDocument/2006/relationships/image" Target="../media/image25.png"/><Relationship Id="rId3" Type="http://schemas.openxmlformats.org/officeDocument/2006/relationships/image" Target="../media/image13.png"/><Relationship Id="rId21" Type="http://schemas.openxmlformats.org/officeDocument/2006/relationships/image" Target="../media/image28.svg"/><Relationship Id="rId7" Type="http://schemas.openxmlformats.org/officeDocument/2006/relationships/image" Target="../media/image17.png"/><Relationship Id="rId12" Type="http://schemas.openxmlformats.org/officeDocument/2006/relationships/image" Target="../media/image22.svg"/><Relationship Id="rId17" Type="http://schemas.openxmlformats.org/officeDocument/2006/relationships/chart" Target="../charts/chart3.xml"/><Relationship Id="rId25" Type="http://schemas.openxmlformats.org/officeDocument/2006/relationships/chart" Target="../charts/chart6.xml"/><Relationship Id="rId2" Type="http://schemas.openxmlformats.org/officeDocument/2006/relationships/image" Target="../media/image12.svg"/><Relationship Id="rId16" Type="http://schemas.openxmlformats.org/officeDocument/2006/relationships/chart" Target="../charts/chart2.xml"/><Relationship Id="rId20" Type="http://schemas.openxmlformats.org/officeDocument/2006/relationships/image" Target="../media/image27.png"/><Relationship Id="rId1" Type="http://schemas.openxmlformats.org/officeDocument/2006/relationships/image" Target="../media/image11.png"/><Relationship Id="rId6" Type="http://schemas.openxmlformats.org/officeDocument/2006/relationships/image" Target="../media/image16.svg"/><Relationship Id="rId11" Type="http://schemas.openxmlformats.org/officeDocument/2006/relationships/image" Target="../media/image21.png"/><Relationship Id="rId24" Type="http://schemas.openxmlformats.org/officeDocument/2006/relationships/chart" Target="../charts/chart5.xml"/><Relationship Id="rId5" Type="http://schemas.openxmlformats.org/officeDocument/2006/relationships/image" Target="../media/image15.png"/><Relationship Id="rId15" Type="http://schemas.openxmlformats.org/officeDocument/2006/relationships/chart" Target="../charts/chart1.xml"/><Relationship Id="rId23" Type="http://schemas.openxmlformats.org/officeDocument/2006/relationships/hyperlink" Target="#'&#128176; Savings'!A1"/><Relationship Id="rId10" Type="http://schemas.openxmlformats.org/officeDocument/2006/relationships/image" Target="../media/image20.svg"/><Relationship Id="rId19" Type="http://schemas.openxmlformats.org/officeDocument/2006/relationships/image" Target="../media/image26.svg"/><Relationship Id="rId4" Type="http://schemas.openxmlformats.org/officeDocument/2006/relationships/image" Target="../media/image14.svg"/><Relationship Id="rId9" Type="http://schemas.openxmlformats.org/officeDocument/2006/relationships/image" Target="../media/image19.png"/><Relationship Id="rId14" Type="http://schemas.openxmlformats.org/officeDocument/2006/relationships/image" Target="../media/image24.svg"/><Relationship Id="rId22" Type="http://schemas.openxmlformats.org/officeDocument/2006/relationships/chart" Target="../charts/chart4.xml"/></Relationships>
</file>

<file path=xl/drawings/_rels/drawing9.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9.xml"/><Relationship Id="rId5" Type="http://schemas.openxmlformats.org/officeDocument/2006/relationships/hyperlink" Target="#'&#128200; Net Worth'!A1"/><Relationship Id="rId4" Type="http://schemas.openxmlformats.org/officeDocument/2006/relationships/image" Target="../media/image30.svg"/></Relationships>
</file>

<file path=xl/drawings/drawing1.xml><?xml version="1.0" encoding="utf-8"?>
<xdr:wsDr xmlns:xdr="http://schemas.openxmlformats.org/drawingml/2006/spreadsheetDrawing" xmlns:a="http://schemas.openxmlformats.org/drawingml/2006/main">
  <xdr:absoluteAnchor>
    <xdr:pos x="8874125" y="3609975"/>
    <xdr:ext cx="1203325" cy="520700"/>
    <xdr:sp macro="" textlink="">
      <xdr:nvSpPr>
        <xdr:cNvPr id="2" name="Arrow: Right 1">
          <a:hlinkClick xmlns:r="http://schemas.openxmlformats.org/officeDocument/2006/relationships" r:id="rId1"/>
          <a:extLst>
            <a:ext uri="{FF2B5EF4-FFF2-40B4-BE49-F238E27FC236}">
              <a16:creationId xmlns:a16="http://schemas.microsoft.com/office/drawing/2014/main" id="{CF30E9D6-C69E-4C38-AE70-75642BFA61C9}"/>
            </a:ext>
          </a:extLst>
        </xdr:cNvPr>
        <xdr:cNvSpPr/>
      </xdr:nvSpPr>
      <xdr:spPr>
        <a:xfrm>
          <a:off x="8874125" y="3609975"/>
          <a:ext cx="1203325" cy="520700"/>
        </a:xfrm>
        <a:prstGeom prst="rightArrow">
          <a:avLst>
            <a:gd name="adj1" fmla="val 50000"/>
            <a:gd name="adj2" fmla="val 57576"/>
          </a:avLst>
        </a:prstGeom>
        <a:solidFill>
          <a:srgbClr val="7030A0"/>
        </a:solidFill>
      </xdr:spPr>
      <xdr:style>
        <a:lnRef idx="3">
          <a:schemeClr val="lt1"/>
        </a:lnRef>
        <a:fillRef idx="1">
          <a:schemeClr val="accent5"/>
        </a:fillRef>
        <a:effectRef idx="1">
          <a:schemeClr val="accent5"/>
        </a:effectRef>
        <a:fontRef idx="minor">
          <a:schemeClr val="lt1"/>
        </a:fontRef>
      </xdr:style>
      <xdr:txBody>
        <a:bodyPr vertOverflow="clip" horzOverflow="clip" rtlCol="0" anchor="ctr"/>
        <a:lstStyle/>
        <a:p>
          <a:pPr algn="l"/>
          <a:r>
            <a:rPr lang="en-AU" sz="1100"/>
            <a:t>Click Next Step</a:t>
          </a:r>
        </a:p>
      </xdr:txBody>
    </xdr:sp>
    <xdr:clientData/>
  </xdr:absoluteAnchor>
  <xdr:absoluteAnchor>
    <xdr:pos x="3152775" y="1085849"/>
    <xdr:ext cx="2171700" cy="1514475"/>
    <xdr:sp macro="" textlink="">
      <xdr:nvSpPr>
        <xdr:cNvPr id="3" name="Speech Bubble: Rectangle 2">
          <a:extLst>
            <a:ext uri="{FF2B5EF4-FFF2-40B4-BE49-F238E27FC236}">
              <a16:creationId xmlns:a16="http://schemas.microsoft.com/office/drawing/2014/main" id="{4DE21230-183E-468F-9CFB-0AFBADD46B91}"/>
            </a:ext>
          </a:extLst>
        </xdr:cNvPr>
        <xdr:cNvSpPr/>
      </xdr:nvSpPr>
      <xdr:spPr>
        <a:xfrm>
          <a:off x="3152775" y="1085849"/>
          <a:ext cx="2171700" cy="1514475"/>
        </a:xfrm>
        <a:prstGeom prst="wedgeRectCallout">
          <a:avLst>
            <a:gd name="adj1" fmla="val -55129"/>
            <a:gd name="adj2" fmla="val -20427"/>
          </a:avLst>
        </a:prstGeom>
        <a:gradFill flip="none" rotWithShape="1">
          <a:gsLst>
            <a:gs pos="0">
              <a:srgbClr val="7030A0">
                <a:shade val="30000"/>
                <a:satMod val="115000"/>
              </a:srgbClr>
            </a:gs>
            <a:gs pos="50000">
              <a:srgbClr val="7030A0">
                <a:shade val="67500"/>
                <a:satMod val="115000"/>
              </a:srgbClr>
            </a:gs>
            <a:gs pos="100000">
              <a:srgbClr val="7030A0">
                <a:shade val="100000"/>
                <a:satMod val="115000"/>
              </a:srgbClr>
            </a:gs>
          </a:gsLst>
          <a:path path="circle">
            <a:fillToRect l="100000" b="100000"/>
          </a:path>
          <a:tileRect t="-100000" r="-100000"/>
        </a:gradFill>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AU" sz="1100">
              <a:solidFill>
                <a:schemeClr val="bg1"/>
              </a:solidFill>
            </a:rPr>
            <a:t>Add/change this Gross MONTHLY Income (Before</a:t>
          </a:r>
          <a:r>
            <a:rPr lang="en-AU" sz="1100" baseline="0">
              <a:solidFill>
                <a:schemeClr val="bg1"/>
              </a:solidFill>
            </a:rPr>
            <a:t> Tax) amount as appropriate. </a:t>
          </a:r>
        </a:p>
        <a:p>
          <a:pPr algn="l"/>
          <a:endParaRPr lang="en-AU" sz="1100" baseline="0">
            <a:solidFill>
              <a:schemeClr val="bg1"/>
            </a:solidFill>
          </a:endParaRPr>
        </a:p>
        <a:p>
          <a:pPr algn="l"/>
          <a:r>
            <a:rPr lang="en-AU" sz="1100" baseline="0">
              <a:solidFill>
                <a:schemeClr val="bg1"/>
              </a:solidFill>
            </a:rPr>
            <a:t>Note: You can add multiple sources of income by starting a new line below - always put the amount before tax.</a:t>
          </a:r>
          <a:endParaRPr lang="en-AU" sz="1100">
            <a:solidFill>
              <a:schemeClr val="bg1"/>
            </a:solidFill>
          </a:endParaRPr>
        </a:p>
      </xdr:txBody>
    </xdr:sp>
    <xdr:clientData/>
  </xdr:absoluteAnchor>
  <xdr:absoluteAnchor>
    <xdr:pos x="8629651" y="1054100"/>
    <xdr:ext cx="2686050" cy="1574799"/>
    <xdr:sp macro="" textlink="">
      <xdr:nvSpPr>
        <xdr:cNvPr id="4" name="Speech Bubble: Rectangle 3">
          <a:extLst>
            <a:ext uri="{FF2B5EF4-FFF2-40B4-BE49-F238E27FC236}">
              <a16:creationId xmlns:a16="http://schemas.microsoft.com/office/drawing/2014/main" id="{1218A393-E813-4160-B6FA-8B913C8ACBEA}"/>
            </a:ext>
          </a:extLst>
        </xdr:cNvPr>
        <xdr:cNvSpPr/>
      </xdr:nvSpPr>
      <xdr:spPr>
        <a:xfrm>
          <a:off x="8629651" y="1054100"/>
          <a:ext cx="2686050" cy="1574799"/>
        </a:xfrm>
        <a:prstGeom prst="wedgeRectCallout">
          <a:avLst>
            <a:gd name="adj1" fmla="val -55129"/>
            <a:gd name="adj2" fmla="val -20427"/>
          </a:avLst>
        </a:prstGeom>
        <a:gradFill flip="none" rotWithShape="1">
          <a:gsLst>
            <a:gs pos="0">
              <a:srgbClr val="7030A0">
                <a:shade val="30000"/>
                <a:satMod val="115000"/>
              </a:srgbClr>
            </a:gs>
            <a:gs pos="50000">
              <a:srgbClr val="7030A0">
                <a:shade val="67500"/>
                <a:satMod val="115000"/>
              </a:srgbClr>
            </a:gs>
            <a:gs pos="100000">
              <a:srgbClr val="7030A0">
                <a:shade val="100000"/>
                <a:satMod val="115000"/>
              </a:srgbClr>
            </a:gs>
          </a:gsLst>
          <a:lin ang="18900000" scaled="1"/>
          <a:tileRect/>
        </a:gradFill>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AU" sz="1100">
              <a:solidFill>
                <a:schemeClr val="bg1"/>
              </a:solidFill>
            </a:rPr>
            <a:t>Input</a:t>
          </a:r>
          <a:r>
            <a:rPr lang="en-AU" sz="1100" baseline="0">
              <a:solidFill>
                <a:schemeClr val="bg1"/>
              </a:solidFill>
            </a:rPr>
            <a:t> your</a:t>
          </a:r>
          <a:r>
            <a:rPr lang="en-AU" sz="1100">
              <a:solidFill>
                <a:schemeClr val="bg1"/>
              </a:solidFill>
            </a:rPr>
            <a:t> Net MONTHLY Income (AFTER</a:t>
          </a:r>
          <a:r>
            <a:rPr lang="en-AU" sz="1100" baseline="0">
              <a:solidFill>
                <a:schemeClr val="bg1"/>
              </a:solidFill>
            </a:rPr>
            <a:t> Tax) amount as appropriate - this is the amount you receive into your bank account if you are on PAYE in the UK.</a:t>
          </a:r>
        </a:p>
        <a:p>
          <a:pPr algn="l"/>
          <a:endParaRPr lang="en-AU" sz="1100" baseline="0">
            <a:solidFill>
              <a:schemeClr val="bg1"/>
            </a:solidFill>
          </a:endParaRPr>
        </a:p>
        <a:p>
          <a:pPr algn="l"/>
          <a:r>
            <a:rPr lang="en-AU" sz="1100" baseline="0">
              <a:solidFill>
                <a:schemeClr val="bg1"/>
              </a:solidFill>
            </a:rPr>
            <a:t>Note: If you receive rental income and dividends etc. you need to budget for your tax bill and pay it to HMRC via a tax return.</a:t>
          </a:r>
        </a:p>
      </xdr:txBody>
    </xdr:sp>
    <xdr:clientData/>
  </xdr:absoluteAnchor>
  <xdr:absoluteAnchor>
    <xdr:pos x="3143250" y="4664075"/>
    <xdr:ext cx="2171701" cy="2219326"/>
    <xdr:sp macro="" textlink="">
      <xdr:nvSpPr>
        <xdr:cNvPr id="5" name="Speech Bubble: Rectangle 4">
          <a:extLst>
            <a:ext uri="{FF2B5EF4-FFF2-40B4-BE49-F238E27FC236}">
              <a16:creationId xmlns:a16="http://schemas.microsoft.com/office/drawing/2014/main" id="{B7817BD8-2F25-40F2-812D-B9892040F709}"/>
            </a:ext>
          </a:extLst>
        </xdr:cNvPr>
        <xdr:cNvSpPr/>
      </xdr:nvSpPr>
      <xdr:spPr>
        <a:xfrm>
          <a:off x="3143250" y="4664075"/>
          <a:ext cx="2171701" cy="2219326"/>
        </a:xfrm>
        <a:prstGeom prst="wedgeRectCallout">
          <a:avLst>
            <a:gd name="adj1" fmla="val 21094"/>
            <a:gd name="adj2" fmla="val -56779"/>
          </a:avLst>
        </a:prstGeom>
        <a:gradFill flip="none" rotWithShape="1">
          <a:gsLst>
            <a:gs pos="0">
              <a:srgbClr val="7030A0">
                <a:shade val="30000"/>
                <a:satMod val="115000"/>
              </a:srgbClr>
            </a:gs>
            <a:gs pos="50000">
              <a:srgbClr val="7030A0">
                <a:shade val="67500"/>
                <a:satMod val="115000"/>
              </a:srgbClr>
            </a:gs>
            <a:gs pos="100000">
              <a:srgbClr val="7030A0">
                <a:shade val="100000"/>
                <a:satMod val="115000"/>
              </a:srgbClr>
            </a:gs>
          </a:gsLst>
          <a:lin ang="13500000" scaled="1"/>
          <a:tileRect/>
        </a:gradFill>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AU" sz="1100">
              <a:solidFill>
                <a:schemeClr val="bg1"/>
              </a:solidFill>
            </a:rPr>
            <a:t>If you stick to this formula</a:t>
          </a:r>
          <a:r>
            <a:rPr lang="en-AU" sz="1100" baseline="0">
              <a:solidFill>
                <a:schemeClr val="bg1"/>
              </a:solidFill>
            </a:rPr>
            <a:t> above - the 10/10/10/70 rule, you WILL win with money over the long term.</a:t>
          </a:r>
          <a:br>
            <a:rPr lang="en-AU" sz="1100" baseline="0">
              <a:solidFill>
                <a:schemeClr val="bg1"/>
              </a:solidFill>
            </a:rPr>
          </a:br>
          <a:br>
            <a:rPr lang="en-AU" sz="1100" baseline="0">
              <a:solidFill>
                <a:schemeClr val="bg1"/>
              </a:solidFill>
            </a:rPr>
          </a:br>
          <a:r>
            <a:rPr lang="en-AU" sz="1100" baseline="0">
              <a:solidFill>
                <a:schemeClr val="bg1"/>
              </a:solidFill>
            </a:rPr>
            <a:t>This structure works once you have paid off all your debts (excluding  mortgages).</a:t>
          </a:r>
        </a:p>
        <a:p>
          <a:pPr algn="l"/>
          <a:endParaRPr lang="en-AU" sz="1100" baseline="0">
            <a:solidFill>
              <a:schemeClr val="bg1"/>
            </a:solidFill>
          </a:endParaRPr>
        </a:p>
        <a:p>
          <a:pPr algn="l"/>
          <a:r>
            <a:rPr lang="en-AU" sz="1100" baseline="0">
              <a:solidFill>
                <a:schemeClr val="bg1"/>
              </a:solidFill>
            </a:rPr>
            <a:t>If you have debts - Save a £1,000 emergency fund, then aggressively go after the debt, and then revert to this model above.</a:t>
          </a:r>
          <a:endParaRPr lang="en-AU" sz="1100">
            <a:solidFill>
              <a:schemeClr val="bg1"/>
            </a:solidFill>
          </a:endParaRPr>
        </a:p>
      </xdr:txBody>
    </xdr:sp>
    <xdr:clientData/>
  </xdr:absoluteAnchor>
  <xdr:oneCellAnchor>
    <xdr:from>
      <xdr:col>1</xdr:col>
      <xdr:colOff>63500</xdr:colOff>
      <xdr:row>0</xdr:row>
      <xdr:rowOff>73025</xdr:rowOff>
    </xdr:from>
    <xdr:ext cx="629767" cy="716825"/>
    <xdr:pic>
      <xdr:nvPicPr>
        <xdr:cNvPr id="6" name="Graphic 5" descr="Treasure chest outline">
          <a:extLst>
            <a:ext uri="{FF2B5EF4-FFF2-40B4-BE49-F238E27FC236}">
              <a16:creationId xmlns:a16="http://schemas.microsoft.com/office/drawing/2014/main" id="{37D58518-DB2E-4DFA-950B-2E1116A6373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76275" y="73025"/>
          <a:ext cx="629767" cy="716825"/>
        </a:xfrm>
        <a:prstGeom prst="rect">
          <a:avLst/>
        </a:prstGeom>
      </xdr:spPr>
    </xdr:pic>
    <xdr:clientData/>
  </xdr:oneCellAnchor>
  <xdr:absoluteAnchor>
    <xdr:pos x="5638799" y="3200400"/>
    <xdr:ext cx="2314576" cy="885826"/>
    <xdr:sp macro="" textlink="">
      <xdr:nvSpPr>
        <xdr:cNvPr id="7" name="Speech Bubble: Rectangle 6">
          <a:extLst>
            <a:ext uri="{FF2B5EF4-FFF2-40B4-BE49-F238E27FC236}">
              <a16:creationId xmlns:a16="http://schemas.microsoft.com/office/drawing/2014/main" id="{C49EE76A-C4D2-4DB8-98DE-C37E4209E9DE}"/>
            </a:ext>
          </a:extLst>
        </xdr:cNvPr>
        <xdr:cNvSpPr/>
      </xdr:nvSpPr>
      <xdr:spPr>
        <a:xfrm>
          <a:off x="5638799" y="3200400"/>
          <a:ext cx="2314576" cy="885826"/>
        </a:xfrm>
        <a:prstGeom prst="wedgeRectCallout">
          <a:avLst>
            <a:gd name="adj1" fmla="val -55129"/>
            <a:gd name="adj2" fmla="val -20427"/>
          </a:avLst>
        </a:prstGeom>
        <a:gradFill flip="none" rotWithShape="1">
          <a:gsLst>
            <a:gs pos="0">
              <a:srgbClr val="7030A0">
                <a:shade val="30000"/>
                <a:satMod val="115000"/>
              </a:srgbClr>
            </a:gs>
            <a:gs pos="50000">
              <a:srgbClr val="7030A0">
                <a:shade val="67500"/>
                <a:satMod val="115000"/>
              </a:srgbClr>
            </a:gs>
            <a:gs pos="100000">
              <a:srgbClr val="7030A0">
                <a:shade val="100000"/>
                <a:satMod val="115000"/>
              </a:srgbClr>
            </a:gs>
          </a:gsLst>
          <a:path path="circle">
            <a:fillToRect l="100000" b="100000"/>
          </a:path>
          <a:tileRect t="-100000" r="-100000"/>
        </a:gradFill>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AU" sz="1100">
              <a:solidFill>
                <a:schemeClr val="bg1"/>
              </a:solidFill>
            </a:rPr>
            <a:t>If you make your</a:t>
          </a:r>
          <a:r>
            <a:rPr lang="en-AU" sz="1100" baseline="0">
              <a:solidFill>
                <a:schemeClr val="bg1"/>
              </a:solidFill>
            </a:rPr>
            <a:t> Pension Contributions directly through your salary, amend this figure manually, so that your budget reflects it correctly.</a:t>
          </a:r>
        </a:p>
      </xdr:txBody>
    </xdr:sp>
    <xdr:clientData/>
  </xdr:absoluteAnchor>
</xdr:wsDr>
</file>

<file path=xl/drawings/drawing10.xml><?xml version="1.0" encoding="utf-8"?>
<xdr:wsDr xmlns:xdr="http://schemas.openxmlformats.org/drawingml/2006/spreadsheetDrawing" xmlns:a="http://schemas.openxmlformats.org/drawingml/2006/main">
  <xdr:twoCellAnchor editAs="oneCell">
    <xdr:from>
      <xdr:col>0</xdr:col>
      <xdr:colOff>188100</xdr:colOff>
      <xdr:row>0</xdr:row>
      <xdr:rowOff>28575</xdr:rowOff>
    </xdr:from>
    <xdr:to>
      <xdr:col>1</xdr:col>
      <xdr:colOff>666750</xdr:colOff>
      <xdr:row>0</xdr:row>
      <xdr:rowOff>754875</xdr:rowOff>
    </xdr:to>
    <xdr:pic>
      <xdr:nvPicPr>
        <xdr:cNvPr id="11" name="Graphic 10" descr="Abacus outline">
          <a:extLst>
            <a:ext uri="{FF2B5EF4-FFF2-40B4-BE49-F238E27FC236}">
              <a16:creationId xmlns:a16="http://schemas.microsoft.com/office/drawing/2014/main" id="{AD018704-8285-A66B-84F6-2CB03BC6475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8100" y="28575"/>
          <a:ext cx="726300" cy="726300"/>
        </a:xfrm>
        <a:prstGeom prst="rect">
          <a:avLst/>
        </a:prstGeom>
      </xdr:spPr>
    </xdr:pic>
    <xdr:clientData/>
  </xdr:twoCellAnchor>
  <xdr:twoCellAnchor editAs="oneCell">
    <xdr:from>
      <xdr:col>0</xdr:col>
      <xdr:colOff>152400</xdr:colOff>
      <xdr:row>4</xdr:row>
      <xdr:rowOff>180975</xdr:rowOff>
    </xdr:from>
    <xdr:to>
      <xdr:col>1</xdr:col>
      <xdr:colOff>1600200</xdr:colOff>
      <xdr:row>11</xdr:row>
      <xdr:rowOff>104775</xdr:rowOff>
    </xdr:to>
    <mc:AlternateContent xmlns:mc="http://schemas.openxmlformats.org/markup-compatibility/2006" xmlns:a14="http://schemas.microsoft.com/office/drawing/2010/main">
      <mc:Choice Requires="a14">
        <xdr:graphicFrame macro="">
          <xdr:nvGraphicFramePr>
            <xdr:cNvPr id="2" name="Category Type">
              <a:extLst>
                <a:ext uri="{FF2B5EF4-FFF2-40B4-BE49-F238E27FC236}">
                  <a16:creationId xmlns:a16="http://schemas.microsoft.com/office/drawing/2014/main" id="{FCEF7840-9FE5-10EB-B8A7-FF3C52778156}"/>
                </a:ext>
              </a:extLst>
            </xdr:cNvPr>
            <xdr:cNvGraphicFramePr/>
          </xdr:nvGraphicFramePr>
          <xdr:xfrm>
            <a:off x="0" y="0"/>
            <a:ext cx="0" cy="0"/>
          </xdr:xfrm>
          <a:graphic>
            <a:graphicData uri="http://schemas.microsoft.com/office/drawing/2010/slicer">
              <sle:slicer xmlns:sle="http://schemas.microsoft.com/office/drawing/2010/slicer" name="Category Type"/>
            </a:graphicData>
          </a:graphic>
        </xdr:graphicFrame>
      </mc:Choice>
      <mc:Fallback xmlns="">
        <xdr:sp macro="" textlink="">
          <xdr:nvSpPr>
            <xdr:cNvPr id="0" name=""/>
            <xdr:cNvSpPr>
              <a:spLocks noTextEdit="1"/>
            </xdr:cNvSpPr>
          </xdr:nvSpPr>
          <xdr:spPr>
            <a:xfrm>
              <a:off x="152400" y="1628775"/>
              <a:ext cx="1695450" cy="1257300"/>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806450</xdr:colOff>
      <xdr:row>4</xdr:row>
      <xdr:rowOff>158750</xdr:rowOff>
    </xdr:from>
    <xdr:to>
      <xdr:col>12</xdr:col>
      <xdr:colOff>120650</xdr:colOff>
      <xdr:row>11</xdr:row>
      <xdr:rowOff>104775</xdr:rowOff>
    </xdr:to>
    <mc:AlternateContent xmlns:mc="http://schemas.openxmlformats.org/markup-compatibility/2006" xmlns:a14="http://schemas.microsoft.com/office/drawing/2010/main">
      <mc:Choice Requires="a14">
        <xdr:graphicFrame macro="">
          <xdr:nvGraphicFramePr>
            <xdr:cNvPr id="6" name="Category Type 1">
              <a:extLst>
                <a:ext uri="{FF2B5EF4-FFF2-40B4-BE49-F238E27FC236}">
                  <a16:creationId xmlns:a16="http://schemas.microsoft.com/office/drawing/2014/main" id="{8584B263-BA8A-FD9E-18C3-C03EF679415C}"/>
                </a:ext>
              </a:extLst>
            </xdr:cNvPr>
            <xdr:cNvGraphicFramePr/>
          </xdr:nvGraphicFramePr>
          <xdr:xfrm>
            <a:off x="0" y="0"/>
            <a:ext cx="0" cy="0"/>
          </xdr:xfrm>
          <a:graphic>
            <a:graphicData uri="http://schemas.microsoft.com/office/drawing/2010/slicer">
              <sle:slicer xmlns:sle="http://schemas.microsoft.com/office/drawing/2010/slicer" name="Category Type 1"/>
            </a:graphicData>
          </a:graphic>
        </xdr:graphicFrame>
      </mc:Choice>
      <mc:Fallback xmlns="">
        <xdr:sp macro="" textlink="">
          <xdr:nvSpPr>
            <xdr:cNvPr id="0" name=""/>
            <xdr:cNvSpPr>
              <a:spLocks noTextEdit="1"/>
            </xdr:cNvSpPr>
          </xdr:nvSpPr>
          <xdr:spPr>
            <a:xfrm>
              <a:off x="9401175" y="1590675"/>
              <a:ext cx="1933575" cy="12065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1.xml><?xml version="1.0" encoding="utf-8"?>
<xdr:wsDr xmlns:xdr="http://schemas.openxmlformats.org/drawingml/2006/spreadsheetDrawing" xmlns:a="http://schemas.openxmlformats.org/drawingml/2006/main">
  <xdr:twoCellAnchor>
    <xdr:from>
      <xdr:col>6</xdr:col>
      <xdr:colOff>419100</xdr:colOff>
      <xdr:row>1</xdr:row>
      <xdr:rowOff>38100</xdr:rowOff>
    </xdr:from>
    <xdr:to>
      <xdr:col>9</xdr:col>
      <xdr:colOff>590550</xdr:colOff>
      <xdr:row>15</xdr:row>
      <xdr:rowOff>19051</xdr:rowOff>
    </xdr:to>
    <xdr:sp macro="" textlink="">
      <xdr:nvSpPr>
        <xdr:cNvPr id="3" name="Speech Bubble: Rectangle 2">
          <a:extLst>
            <a:ext uri="{FF2B5EF4-FFF2-40B4-BE49-F238E27FC236}">
              <a16:creationId xmlns:a16="http://schemas.microsoft.com/office/drawing/2014/main" id="{B9EDE393-1CB0-453A-B886-E6E03C135DE8}"/>
            </a:ext>
          </a:extLst>
        </xdr:cNvPr>
        <xdr:cNvSpPr/>
      </xdr:nvSpPr>
      <xdr:spPr>
        <a:xfrm>
          <a:off x="5343525" y="219075"/>
          <a:ext cx="2000250" cy="2514601"/>
        </a:xfrm>
        <a:prstGeom prst="wedgeRectCallout">
          <a:avLst>
            <a:gd name="adj1" fmla="val -56944"/>
            <a:gd name="adj2" fmla="val -22558"/>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t"/>
        <a:lstStyle/>
        <a:p>
          <a:pPr algn="l"/>
          <a:r>
            <a:rPr lang="en-AU" sz="1100"/>
            <a:t>Paste</a:t>
          </a:r>
          <a:r>
            <a:rPr lang="en-AU" sz="1100" baseline="0"/>
            <a:t> your bank account statement into this template - ensure that the columns align with what is shown here on the left. That way the data will fit into the reports.</a:t>
          </a:r>
          <a:br>
            <a:rPr lang="en-AU" sz="1100" baseline="0"/>
          </a:br>
          <a:br>
            <a:rPr lang="en-AU" sz="1100" baseline="0"/>
          </a:br>
          <a:r>
            <a:rPr lang="en-AU" sz="1100" baseline="0"/>
            <a:t>Once it is all in here, you need to asign a Sub-Category to each line.</a:t>
          </a:r>
          <a:br>
            <a:rPr lang="en-AU" sz="1100" baseline="0"/>
          </a:br>
          <a:br>
            <a:rPr lang="en-AU" sz="1100" baseline="0"/>
          </a:br>
          <a:r>
            <a:rPr lang="en-AU" sz="1100" baseline="0"/>
            <a:t>After that, simply copy and paste the whole table into the next row on the "Transactions" tab.</a:t>
          </a:r>
          <a:endParaRPr lang="en-AU"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1133475</xdr:colOff>
      <xdr:row>25</xdr:row>
      <xdr:rowOff>4761</xdr:rowOff>
    </xdr:from>
    <xdr:to>
      <xdr:col>1</xdr:col>
      <xdr:colOff>1743075</xdr:colOff>
      <xdr:row>28</xdr:row>
      <xdr:rowOff>42861</xdr:rowOff>
    </xdr:to>
    <xdr:pic>
      <xdr:nvPicPr>
        <xdr:cNvPr id="3" name="Picture 2" descr="YouTube Channel">
          <a:hlinkClick xmlns:r="http://schemas.openxmlformats.org/officeDocument/2006/relationships" r:id="rId1"/>
          <a:extLst>
            <a:ext uri="{FF2B5EF4-FFF2-40B4-BE49-F238E27FC236}">
              <a16:creationId xmlns:a16="http://schemas.microsoft.com/office/drawing/2014/main" id="{8D97F459-3EC9-4819-88B6-435653C74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1400175" y="5986461"/>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2836333</xdr:colOff>
      <xdr:row>25</xdr:row>
      <xdr:rowOff>4761</xdr:rowOff>
    </xdr:from>
    <xdr:to>
      <xdr:col>2</xdr:col>
      <xdr:colOff>359833</xdr:colOff>
      <xdr:row>28</xdr:row>
      <xdr:rowOff>42861</xdr:rowOff>
    </xdr:to>
    <xdr:pic>
      <xdr:nvPicPr>
        <xdr:cNvPr id="4" name="Picture 3" descr="LinkedIn Profile">
          <a:hlinkClick xmlns:r="http://schemas.openxmlformats.org/officeDocument/2006/relationships" r:id="rId3"/>
          <a:extLst>
            <a:ext uri="{FF2B5EF4-FFF2-40B4-BE49-F238E27FC236}">
              <a16:creationId xmlns:a16="http://schemas.microsoft.com/office/drawing/2014/main" id="{6665121B-D334-4EA9-89C6-B93E10ABEA7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3103033" y="5986461"/>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1453091</xdr:colOff>
      <xdr:row>25</xdr:row>
      <xdr:rowOff>4761</xdr:rowOff>
    </xdr:from>
    <xdr:to>
      <xdr:col>2</xdr:col>
      <xdr:colOff>2062691</xdr:colOff>
      <xdr:row>28</xdr:row>
      <xdr:rowOff>42861</xdr:rowOff>
    </xdr:to>
    <xdr:pic>
      <xdr:nvPicPr>
        <xdr:cNvPr id="5" name="Picture 4" descr="Instagram Profile">
          <a:hlinkClick xmlns:r="http://schemas.openxmlformats.org/officeDocument/2006/relationships" r:id="rId5"/>
          <a:extLst>
            <a:ext uri="{FF2B5EF4-FFF2-40B4-BE49-F238E27FC236}">
              <a16:creationId xmlns:a16="http://schemas.microsoft.com/office/drawing/2014/main" id="{DCD4FBF5-DB13-4944-82A4-69D202B157D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4805891" y="5986461"/>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3155950</xdr:colOff>
      <xdr:row>25</xdr:row>
      <xdr:rowOff>4761</xdr:rowOff>
    </xdr:from>
    <xdr:to>
      <xdr:col>2</xdr:col>
      <xdr:colOff>3765550</xdr:colOff>
      <xdr:row>28</xdr:row>
      <xdr:rowOff>42861</xdr:rowOff>
    </xdr:to>
    <xdr:pic>
      <xdr:nvPicPr>
        <xdr:cNvPr id="7" name="Picture 6" descr="TikTok Profile">
          <a:hlinkClick xmlns:r="http://schemas.openxmlformats.org/officeDocument/2006/relationships" r:id="rId7"/>
          <a:extLst>
            <a:ext uri="{FF2B5EF4-FFF2-40B4-BE49-F238E27FC236}">
              <a16:creationId xmlns:a16="http://schemas.microsoft.com/office/drawing/2014/main" id="{B666268F-90CD-4E13-897E-5A2880F9BCA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bwMode="auto">
        <a:xfrm>
          <a:off x="6508750" y="5986461"/>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8</xdr:col>
      <xdr:colOff>447674</xdr:colOff>
      <xdr:row>2</xdr:row>
      <xdr:rowOff>6350</xdr:rowOff>
    </xdr:from>
    <xdr:to>
      <xdr:col>9</xdr:col>
      <xdr:colOff>819150</xdr:colOff>
      <xdr:row>11</xdr:row>
      <xdr:rowOff>19050</xdr:rowOff>
    </xdr:to>
    <xdr:sp macro="" textlink="">
      <xdr:nvSpPr>
        <xdr:cNvPr id="2" name="Speech Bubble: Rectangle 1">
          <a:extLst>
            <a:ext uri="{FF2B5EF4-FFF2-40B4-BE49-F238E27FC236}">
              <a16:creationId xmlns:a16="http://schemas.microsoft.com/office/drawing/2014/main" id="{DCFC6C5F-57C7-269C-D37F-43396B2E77A7}"/>
            </a:ext>
          </a:extLst>
        </xdr:cNvPr>
        <xdr:cNvSpPr/>
      </xdr:nvSpPr>
      <xdr:spPr>
        <a:xfrm>
          <a:off x="9267824" y="1120775"/>
          <a:ext cx="2057401" cy="1727200"/>
        </a:xfrm>
        <a:prstGeom prst="wedgeRectCallout">
          <a:avLst>
            <a:gd name="adj1" fmla="val -55129"/>
            <a:gd name="adj2" fmla="val -20427"/>
          </a:avLst>
        </a:prstGeom>
        <a:gradFill flip="none" rotWithShape="1">
          <a:gsLst>
            <a:gs pos="0">
              <a:schemeClr val="accent2">
                <a:lumMod val="60000"/>
                <a:lumOff val="40000"/>
                <a:shade val="30000"/>
                <a:satMod val="115000"/>
              </a:schemeClr>
            </a:gs>
            <a:gs pos="50000">
              <a:schemeClr val="accent2">
                <a:lumMod val="60000"/>
                <a:lumOff val="40000"/>
                <a:shade val="67500"/>
                <a:satMod val="115000"/>
              </a:schemeClr>
            </a:gs>
            <a:gs pos="100000">
              <a:schemeClr val="accent2">
                <a:lumMod val="60000"/>
                <a:lumOff val="40000"/>
                <a:shade val="100000"/>
                <a:satMod val="115000"/>
              </a:schemeClr>
            </a:gs>
          </a:gsLst>
          <a:path path="circle">
            <a:fillToRect l="100000" b="100000"/>
          </a:path>
          <a:tileRect t="-100000" r="-100000"/>
        </a:gradFill>
        <a:ln>
          <a:no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AU" sz="1100">
              <a:solidFill>
                <a:schemeClr val="bg1"/>
              </a:solidFill>
            </a:rPr>
            <a:t>Record your debts in line below - EXCLUDING</a:t>
          </a:r>
          <a:r>
            <a:rPr lang="en-AU" sz="1100" baseline="0">
              <a:solidFill>
                <a:schemeClr val="bg1"/>
              </a:solidFill>
            </a:rPr>
            <a:t> Mortgages.</a:t>
          </a:r>
        </a:p>
        <a:p>
          <a:pPr algn="l"/>
          <a:endParaRPr lang="en-AU" sz="1100" baseline="0">
            <a:solidFill>
              <a:schemeClr val="bg1"/>
            </a:solidFill>
          </a:endParaRPr>
        </a:p>
        <a:p>
          <a:pPr algn="l"/>
          <a:r>
            <a:rPr lang="en-AU" sz="1100" baseline="0">
              <a:solidFill>
                <a:schemeClr val="bg1"/>
              </a:solidFill>
            </a:rPr>
            <a:t>Note: leave blank any rows you don't require.</a:t>
          </a:r>
          <a:br>
            <a:rPr lang="en-AU" sz="1100" baseline="0">
              <a:solidFill>
                <a:schemeClr val="bg1"/>
              </a:solidFill>
            </a:rPr>
          </a:br>
          <a:br>
            <a:rPr lang="en-AU" sz="1100" baseline="0">
              <a:solidFill>
                <a:schemeClr val="bg1"/>
              </a:solidFill>
            </a:rPr>
          </a:br>
          <a:r>
            <a:rPr lang="en-AU" sz="1100" baseline="0">
              <a:solidFill>
                <a:schemeClr val="bg1"/>
              </a:solidFill>
            </a:rPr>
            <a:t>When over-paying, don't forget to update your "amount repaid" figure</a:t>
          </a:r>
        </a:p>
      </xdr:txBody>
    </xdr:sp>
    <xdr:clientData/>
  </xdr:twoCellAnchor>
  <xdr:twoCellAnchor editAs="absolute">
    <xdr:from>
      <xdr:col>8</xdr:col>
      <xdr:colOff>901700</xdr:colOff>
      <xdr:row>13</xdr:row>
      <xdr:rowOff>130175</xdr:rowOff>
    </xdr:from>
    <xdr:to>
      <xdr:col>9</xdr:col>
      <xdr:colOff>377825</xdr:colOff>
      <xdr:row>16</xdr:row>
      <xdr:rowOff>111125</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481514FF-B148-05AB-C6F6-0F868527E031}"/>
            </a:ext>
          </a:extLst>
        </xdr:cNvPr>
        <xdr:cNvSpPr/>
      </xdr:nvSpPr>
      <xdr:spPr>
        <a:xfrm>
          <a:off x="9721850" y="3340100"/>
          <a:ext cx="1162050" cy="552450"/>
        </a:xfrm>
        <a:prstGeom prst="rightArrow">
          <a:avLst>
            <a:gd name="adj1" fmla="val 50000"/>
            <a:gd name="adj2" fmla="val 57576"/>
          </a:avLst>
        </a:prstGeom>
        <a:solidFill>
          <a:schemeClr val="accent2">
            <a:lumMod val="60000"/>
            <a:lumOff val="40000"/>
          </a:schemeClr>
        </a:solidFill>
      </xdr:spPr>
      <xdr:style>
        <a:lnRef idx="3">
          <a:schemeClr val="lt1"/>
        </a:lnRef>
        <a:fillRef idx="1">
          <a:schemeClr val="accent5"/>
        </a:fillRef>
        <a:effectRef idx="1">
          <a:schemeClr val="accent5"/>
        </a:effectRef>
        <a:fontRef idx="minor">
          <a:schemeClr val="lt1"/>
        </a:fontRef>
      </xdr:style>
      <xdr:txBody>
        <a:bodyPr vertOverflow="clip" horzOverflow="clip" rtlCol="0" anchor="ctr"/>
        <a:lstStyle/>
        <a:p>
          <a:pPr algn="l"/>
          <a:r>
            <a:rPr lang="en-AU" sz="1100"/>
            <a:t>Click Next Step</a:t>
          </a:r>
        </a:p>
      </xdr:txBody>
    </xdr:sp>
    <xdr:clientData/>
  </xdr:twoCellAnchor>
  <xdr:twoCellAnchor editAs="oneCell">
    <xdr:from>
      <xdr:col>1</xdr:col>
      <xdr:colOff>387350</xdr:colOff>
      <xdr:row>0</xdr:row>
      <xdr:rowOff>15875</xdr:rowOff>
    </xdr:from>
    <xdr:to>
      <xdr:col>2</xdr:col>
      <xdr:colOff>0</xdr:colOff>
      <xdr:row>1</xdr:row>
      <xdr:rowOff>6350</xdr:rowOff>
    </xdr:to>
    <xdr:pic>
      <xdr:nvPicPr>
        <xdr:cNvPr id="8" name="Graphic 7" descr="Jail outline">
          <a:extLst>
            <a:ext uri="{FF2B5EF4-FFF2-40B4-BE49-F238E27FC236}">
              <a16:creationId xmlns:a16="http://schemas.microsoft.com/office/drawing/2014/main" id="{F691ADC3-C060-D1A8-B258-6BE998BA6E7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58800" y="15875"/>
          <a:ext cx="908050" cy="914400"/>
        </a:xfrm>
        <a:prstGeom prst="rect">
          <a:avLst/>
        </a:prstGeom>
      </xdr:spPr>
    </xdr:pic>
    <xdr:clientData/>
  </xdr:twoCellAnchor>
  <xdr:twoCellAnchor editAs="absolute">
    <xdr:from>
      <xdr:col>6</xdr:col>
      <xdr:colOff>523875</xdr:colOff>
      <xdr:row>14</xdr:row>
      <xdr:rowOff>142876</xdr:rowOff>
    </xdr:from>
    <xdr:to>
      <xdr:col>8</xdr:col>
      <xdr:colOff>0</xdr:colOff>
      <xdr:row>19</xdr:row>
      <xdr:rowOff>161926</xdr:rowOff>
    </xdr:to>
    <xdr:sp macro="" textlink="">
      <xdr:nvSpPr>
        <xdr:cNvPr id="4" name="Speech Bubble: Rectangle 3">
          <a:extLst>
            <a:ext uri="{FF2B5EF4-FFF2-40B4-BE49-F238E27FC236}">
              <a16:creationId xmlns:a16="http://schemas.microsoft.com/office/drawing/2014/main" id="{F8BEADE9-7C25-4F39-BB34-F747A7AFA63D}"/>
            </a:ext>
          </a:extLst>
        </xdr:cNvPr>
        <xdr:cNvSpPr/>
      </xdr:nvSpPr>
      <xdr:spPr>
        <a:xfrm>
          <a:off x="6905625" y="3543301"/>
          <a:ext cx="1914525" cy="971550"/>
        </a:xfrm>
        <a:prstGeom prst="wedgeRectCallout">
          <a:avLst>
            <a:gd name="adj1" fmla="val 20559"/>
            <a:gd name="adj2" fmla="val -64381"/>
          </a:avLst>
        </a:prstGeom>
        <a:gradFill flip="none" rotWithShape="1">
          <a:gsLst>
            <a:gs pos="0">
              <a:schemeClr val="accent2">
                <a:lumMod val="60000"/>
                <a:lumOff val="40000"/>
                <a:shade val="30000"/>
                <a:satMod val="115000"/>
              </a:schemeClr>
            </a:gs>
            <a:gs pos="50000">
              <a:schemeClr val="accent2">
                <a:lumMod val="60000"/>
                <a:lumOff val="40000"/>
                <a:shade val="67500"/>
                <a:satMod val="115000"/>
              </a:schemeClr>
            </a:gs>
            <a:gs pos="100000">
              <a:schemeClr val="accent2">
                <a:lumMod val="60000"/>
                <a:lumOff val="40000"/>
                <a:shade val="100000"/>
                <a:satMod val="115000"/>
              </a:schemeClr>
            </a:gs>
          </a:gsLst>
          <a:path path="circle">
            <a:fillToRect l="100000" b="100000"/>
          </a:path>
          <a:tileRect t="-100000" r="-100000"/>
        </a:gradFill>
        <a:ln>
          <a:no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AU" sz="1100">
              <a:solidFill>
                <a:schemeClr val="bg1"/>
              </a:solidFill>
            </a:rPr>
            <a:t>This figure is pulled from the "Mortgage Calculator</a:t>
          </a:r>
          <a:r>
            <a:rPr lang="en-AU" sz="1100" baseline="0">
              <a:solidFill>
                <a:schemeClr val="bg1"/>
              </a:solidFill>
            </a:rPr>
            <a:t>" page - ensure all the cells are filled in there correctly, to show an accurate figure.</a:t>
          </a:r>
          <a:endParaRPr lang="en-AU" sz="1100">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absoluteAnchor>
    <xdr:pos x="7229475" y="1457325"/>
    <xdr:ext cx="1162050" cy="552450"/>
    <xdr:sp macro="" textlink="">
      <xdr:nvSpPr>
        <xdr:cNvPr id="2" name="Arrow: Right 1">
          <a:hlinkClick xmlns:r="http://schemas.openxmlformats.org/officeDocument/2006/relationships" r:id="rId1"/>
          <a:extLst>
            <a:ext uri="{FF2B5EF4-FFF2-40B4-BE49-F238E27FC236}">
              <a16:creationId xmlns:a16="http://schemas.microsoft.com/office/drawing/2014/main" id="{004B4652-EE64-4F9F-81F3-621F5BF5AC88}"/>
            </a:ext>
          </a:extLst>
        </xdr:cNvPr>
        <xdr:cNvSpPr/>
      </xdr:nvSpPr>
      <xdr:spPr>
        <a:xfrm>
          <a:off x="7229475" y="1457325"/>
          <a:ext cx="1162050" cy="552450"/>
        </a:xfrm>
        <a:prstGeom prst="rightArrow">
          <a:avLst>
            <a:gd name="adj1" fmla="val 50000"/>
            <a:gd name="adj2" fmla="val 57576"/>
          </a:avLst>
        </a:prstGeom>
        <a:solidFill>
          <a:srgbClr val="136936"/>
        </a:solidFill>
      </xdr:spPr>
      <xdr:style>
        <a:lnRef idx="3">
          <a:schemeClr val="lt1"/>
        </a:lnRef>
        <a:fillRef idx="1">
          <a:schemeClr val="accent5"/>
        </a:fillRef>
        <a:effectRef idx="1">
          <a:schemeClr val="accent5"/>
        </a:effectRef>
        <a:fontRef idx="minor">
          <a:schemeClr val="lt1"/>
        </a:fontRef>
      </xdr:style>
      <xdr:txBody>
        <a:bodyPr vertOverflow="clip" horzOverflow="clip" rtlCol="0" anchor="ctr"/>
        <a:lstStyle/>
        <a:p>
          <a:pPr algn="l"/>
          <a:r>
            <a:rPr lang="en-AU" sz="1100"/>
            <a:t>Click Next Step</a:t>
          </a:r>
        </a:p>
      </xdr:txBody>
    </xdr:sp>
    <xdr:clientData/>
  </xdr:absoluteAnchor>
  <xdr:twoCellAnchor editAs="absolute">
    <xdr:from>
      <xdr:col>10</xdr:col>
      <xdr:colOff>57150</xdr:colOff>
      <xdr:row>10</xdr:row>
      <xdr:rowOff>180974</xdr:rowOff>
    </xdr:from>
    <xdr:to>
      <xdr:col>15</xdr:col>
      <xdr:colOff>285750</xdr:colOff>
      <xdr:row>26</xdr:row>
      <xdr:rowOff>9525</xdr:rowOff>
    </xdr:to>
    <xdr:sp macro="" textlink="">
      <xdr:nvSpPr>
        <xdr:cNvPr id="3" name="Speech Bubble: Rectangle 2">
          <a:extLst>
            <a:ext uri="{FF2B5EF4-FFF2-40B4-BE49-F238E27FC236}">
              <a16:creationId xmlns:a16="http://schemas.microsoft.com/office/drawing/2014/main" id="{D85733F3-F0EF-4401-A488-82FAEBEE7BE6}"/>
            </a:ext>
          </a:extLst>
        </xdr:cNvPr>
        <xdr:cNvSpPr/>
      </xdr:nvSpPr>
      <xdr:spPr>
        <a:xfrm>
          <a:off x="6667500" y="2771774"/>
          <a:ext cx="2333625" cy="2990851"/>
        </a:xfrm>
        <a:prstGeom prst="wedgeRectCallout">
          <a:avLst>
            <a:gd name="adj1" fmla="val -63059"/>
            <a:gd name="adj2" fmla="val -22641"/>
          </a:avLst>
        </a:prstGeom>
        <a:solidFill>
          <a:srgbClr val="136936"/>
        </a:solidFill>
        <a:ln>
          <a:no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AU" sz="1100">
              <a:solidFill>
                <a:schemeClr val="bg1"/>
              </a:solidFill>
            </a:rPr>
            <a:t>For the Snowball, label the the debts</a:t>
          </a:r>
          <a:r>
            <a:rPr lang="en-AU" sz="1100" baseline="0">
              <a:solidFill>
                <a:schemeClr val="bg1"/>
              </a:solidFill>
            </a:rPr>
            <a:t> smallest (1) to largest (6).</a:t>
          </a:r>
          <a:br>
            <a:rPr lang="en-AU" sz="1100" baseline="0">
              <a:solidFill>
                <a:schemeClr val="bg1"/>
              </a:solidFill>
            </a:rPr>
          </a:br>
          <a:br>
            <a:rPr lang="en-AU" sz="1100" baseline="0">
              <a:solidFill>
                <a:schemeClr val="bg1"/>
              </a:solidFill>
            </a:rPr>
          </a:br>
          <a:r>
            <a:rPr lang="en-AU" sz="1100" baseline="0">
              <a:solidFill>
                <a:schemeClr val="bg1"/>
              </a:solidFill>
            </a:rPr>
            <a:t>For the Avalanche, label the debts based on their interest rates - highest interest rate (1) to lowest interest rate (6)</a:t>
          </a:r>
          <a:br>
            <a:rPr lang="en-AU" sz="1100" baseline="0">
              <a:solidFill>
                <a:schemeClr val="bg1"/>
              </a:solidFill>
            </a:rPr>
          </a:br>
          <a:br>
            <a:rPr lang="en-AU" sz="1100" baseline="0">
              <a:solidFill>
                <a:schemeClr val="bg1"/>
              </a:solidFill>
            </a:rPr>
          </a:br>
          <a:r>
            <a:rPr lang="en-AU" sz="1100" baseline="0">
              <a:solidFill>
                <a:schemeClr val="bg1"/>
              </a:solidFill>
            </a:rPr>
            <a:t>The spreadsheet will sort the rest automatically - no need for you to rearrange anything, just type the number from 1-6 in the right order.</a:t>
          </a:r>
          <a:br>
            <a:rPr lang="en-AU" sz="1100" baseline="0">
              <a:solidFill>
                <a:schemeClr val="bg1"/>
              </a:solidFill>
            </a:rPr>
          </a:br>
          <a:br>
            <a:rPr lang="en-AU" sz="1100" baseline="0">
              <a:solidFill>
                <a:schemeClr val="bg1"/>
              </a:solidFill>
            </a:rPr>
          </a:br>
          <a:r>
            <a:rPr lang="en-AU" sz="1100" baseline="0">
              <a:solidFill>
                <a:schemeClr val="bg1"/>
              </a:solidFill>
            </a:rPr>
            <a:t>**NOTE** We have ignored Student Loans for a reason - check that module and the Analyser tool we have built.</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8</xdr:col>
      <xdr:colOff>85725</xdr:colOff>
      <xdr:row>4</xdr:row>
      <xdr:rowOff>9525</xdr:rowOff>
    </xdr:from>
    <xdr:to>
      <xdr:col>11</xdr:col>
      <xdr:colOff>190500</xdr:colOff>
      <xdr:row>17</xdr:row>
      <xdr:rowOff>95251</xdr:rowOff>
    </xdr:to>
    <xdr:sp macro="" textlink="">
      <xdr:nvSpPr>
        <xdr:cNvPr id="2" name="Speech Bubble: Rectangle 1">
          <a:extLst>
            <a:ext uri="{FF2B5EF4-FFF2-40B4-BE49-F238E27FC236}">
              <a16:creationId xmlns:a16="http://schemas.microsoft.com/office/drawing/2014/main" id="{698B2567-557D-4BFD-B93C-6FD495B8D1DA}"/>
            </a:ext>
          </a:extLst>
        </xdr:cNvPr>
        <xdr:cNvSpPr/>
      </xdr:nvSpPr>
      <xdr:spPr>
        <a:xfrm>
          <a:off x="7896225" y="1504950"/>
          <a:ext cx="2162175" cy="2581276"/>
        </a:xfrm>
        <a:prstGeom prst="wedgeRectCallout">
          <a:avLst>
            <a:gd name="adj1" fmla="val -62618"/>
            <a:gd name="adj2" fmla="val -19689"/>
          </a:avLst>
        </a:prstGeom>
        <a:gradFill flip="none" rotWithShape="1">
          <a:gsLst>
            <a:gs pos="0">
              <a:srgbClr val="006600"/>
            </a:gs>
            <a:gs pos="50000">
              <a:srgbClr val="006600"/>
            </a:gs>
            <a:gs pos="100000">
              <a:srgbClr val="006600"/>
            </a:gs>
          </a:gsLst>
          <a:path path="circle">
            <a:fillToRect l="100000" b="100000"/>
          </a:path>
          <a:tileRect t="-100000" r="-100000"/>
        </a:gradFill>
        <a:ln>
          <a:no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AU" sz="1100">
              <a:solidFill>
                <a:schemeClr val="bg1"/>
              </a:solidFill>
            </a:rPr>
            <a:t>(1) Enter your loan details in the BLACK BOX inputs.</a:t>
          </a:r>
          <a:br>
            <a:rPr lang="en-AU" sz="1100">
              <a:solidFill>
                <a:schemeClr val="bg1"/>
              </a:solidFill>
            </a:rPr>
          </a:br>
          <a:r>
            <a:rPr lang="en-AU" sz="1100">
              <a:solidFill>
                <a:schemeClr val="bg1"/>
              </a:solidFill>
            </a:rPr>
            <a:t>(2) Monthly payment is auto-calculated </a:t>
          </a:r>
          <a:r>
            <a:rPr lang="en-AU" sz="1100" baseline="0">
              <a:solidFill>
                <a:schemeClr val="bg1"/>
              </a:solidFill>
            </a:rPr>
            <a:t>- no need to type</a:t>
          </a:r>
          <a:r>
            <a:rPr lang="en-AU" sz="1100">
              <a:solidFill>
                <a:schemeClr val="bg1"/>
              </a:solidFill>
            </a:rPr>
            <a:t>.</a:t>
          </a:r>
          <a:br>
            <a:rPr lang="en-AU" sz="1100">
              <a:solidFill>
                <a:schemeClr val="bg1"/>
              </a:solidFill>
            </a:rPr>
          </a:br>
          <a:r>
            <a:rPr lang="en-AU" sz="1100">
              <a:solidFill>
                <a:schemeClr val="bg1"/>
              </a:solidFill>
            </a:rPr>
            <a:t>(3) Add monthly or lump-sum over-payments to see interest &amp; time saved.</a:t>
          </a:r>
          <a:br>
            <a:rPr lang="en-AU" sz="1100">
              <a:solidFill>
                <a:schemeClr val="bg1"/>
              </a:solidFill>
            </a:rPr>
          </a:br>
          <a:r>
            <a:rPr lang="en-AU" sz="1100">
              <a:solidFill>
                <a:schemeClr val="bg1"/>
              </a:solidFill>
            </a:rPr>
            <a:t>(4) Use Mortgage 2 to compare a remortgage scenario (or for a BTL).</a:t>
          </a:r>
          <a:br>
            <a:rPr lang="en-AU" sz="1100">
              <a:solidFill>
                <a:schemeClr val="bg1"/>
              </a:solidFill>
            </a:rPr>
          </a:br>
          <a:r>
            <a:rPr lang="en-AU" sz="1100">
              <a:solidFill>
                <a:schemeClr val="bg1"/>
              </a:solidFill>
            </a:rPr>
            <a:t>(5) Balance Remaining Today updates automatically.</a:t>
          </a:r>
          <a:br>
            <a:rPr lang="en-AU" sz="1100">
              <a:solidFill>
                <a:schemeClr val="bg1"/>
              </a:solidFill>
            </a:rPr>
          </a:br>
          <a:r>
            <a:rPr lang="en-AU" sz="1100">
              <a:solidFill>
                <a:schemeClr val="bg1"/>
              </a:solidFill>
            </a:rPr>
            <a:t>(6) The Debts sheet pulls "Balance Remaining" directly from this calculator.</a:t>
          </a:r>
        </a:p>
      </xdr:txBody>
    </xdr:sp>
    <xdr:clientData/>
  </xdr:twoCellAnchor>
  <xdr:absoluteAnchor>
    <xdr:pos x="7877175" y="4400550"/>
    <xdr:ext cx="1162050" cy="552450"/>
    <xdr:sp macro="" textlink="">
      <xdr:nvSpPr>
        <xdr:cNvPr id="3" name="Arrow: Right 2">
          <a:hlinkClick xmlns:r="http://schemas.openxmlformats.org/officeDocument/2006/relationships" r:id="rId1"/>
          <a:extLst>
            <a:ext uri="{FF2B5EF4-FFF2-40B4-BE49-F238E27FC236}">
              <a16:creationId xmlns:a16="http://schemas.microsoft.com/office/drawing/2014/main" id="{89E907E4-78DD-4487-8802-516FEABD66D2}"/>
            </a:ext>
          </a:extLst>
        </xdr:cNvPr>
        <xdr:cNvSpPr/>
      </xdr:nvSpPr>
      <xdr:spPr>
        <a:xfrm>
          <a:off x="7877175" y="4400550"/>
          <a:ext cx="1162050" cy="552450"/>
        </a:xfrm>
        <a:prstGeom prst="rightArrow">
          <a:avLst>
            <a:gd name="adj1" fmla="val 50000"/>
            <a:gd name="adj2" fmla="val 57576"/>
          </a:avLst>
        </a:prstGeom>
        <a:solidFill>
          <a:srgbClr val="006600"/>
        </a:solidFill>
      </xdr:spPr>
      <xdr:style>
        <a:lnRef idx="3">
          <a:schemeClr val="lt1"/>
        </a:lnRef>
        <a:fillRef idx="1">
          <a:schemeClr val="accent5"/>
        </a:fillRef>
        <a:effectRef idx="1">
          <a:schemeClr val="accent5"/>
        </a:effectRef>
        <a:fontRef idx="minor">
          <a:schemeClr val="lt1"/>
        </a:fontRef>
      </xdr:style>
      <xdr:txBody>
        <a:bodyPr vertOverflow="clip" horzOverflow="clip" rtlCol="0" anchor="ctr"/>
        <a:lstStyle/>
        <a:p>
          <a:pPr algn="l"/>
          <a:r>
            <a:rPr lang="en-AU" sz="1100"/>
            <a:t>Click Next Step</a:t>
          </a:r>
        </a:p>
      </xdr:txBody>
    </xdr:sp>
    <xdr:clientData/>
  </xdr:absolute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0</xdr:row>
      <xdr:rowOff>44450</xdr:rowOff>
    </xdr:from>
    <xdr:to>
      <xdr:col>1</xdr:col>
      <xdr:colOff>704850</xdr:colOff>
      <xdr:row>0</xdr:row>
      <xdr:rowOff>749300</xdr:rowOff>
    </xdr:to>
    <xdr:pic>
      <xdr:nvPicPr>
        <xdr:cNvPr id="2" name="Graphic 1" descr="Document outline">
          <a:extLst>
            <a:ext uri="{FF2B5EF4-FFF2-40B4-BE49-F238E27FC236}">
              <a16:creationId xmlns:a16="http://schemas.microsoft.com/office/drawing/2014/main" id="{8EAC5620-E5F1-4890-A64E-083031D45D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80975" y="44450"/>
          <a:ext cx="704850" cy="704850"/>
        </a:xfrm>
        <a:prstGeom prst="rect">
          <a:avLst/>
        </a:prstGeom>
      </xdr:spPr>
    </xdr:pic>
    <xdr:clientData/>
  </xdr:twoCellAnchor>
  <xdr:twoCellAnchor editAs="absolute">
    <xdr:from>
      <xdr:col>4</xdr:col>
      <xdr:colOff>149225</xdr:colOff>
      <xdr:row>2</xdr:row>
      <xdr:rowOff>152398</xdr:rowOff>
    </xdr:from>
    <xdr:to>
      <xdr:col>7</xdr:col>
      <xdr:colOff>130175</xdr:colOff>
      <xdr:row>14</xdr:row>
      <xdr:rowOff>31750</xdr:rowOff>
    </xdr:to>
    <xdr:sp macro="" textlink="">
      <xdr:nvSpPr>
        <xdr:cNvPr id="3" name="Speech Bubble: Rectangle 2">
          <a:extLst>
            <a:ext uri="{FF2B5EF4-FFF2-40B4-BE49-F238E27FC236}">
              <a16:creationId xmlns:a16="http://schemas.microsoft.com/office/drawing/2014/main" id="{B9E96308-8719-4C15-8A8C-C81F9E017350}"/>
            </a:ext>
          </a:extLst>
        </xdr:cNvPr>
        <xdr:cNvSpPr/>
      </xdr:nvSpPr>
      <xdr:spPr>
        <a:xfrm>
          <a:off x="4581525" y="1257298"/>
          <a:ext cx="1809750" cy="2089152"/>
        </a:xfrm>
        <a:prstGeom prst="wedgeRectCallout">
          <a:avLst>
            <a:gd name="adj1" fmla="val -55129"/>
            <a:gd name="adj2" fmla="val -20427"/>
          </a:avLst>
        </a:prstGeom>
        <a:ln>
          <a:noFill/>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AU" sz="1100">
              <a:solidFill>
                <a:schemeClr val="bg1"/>
              </a:solidFill>
            </a:rPr>
            <a:t>Add/change Sub-categories</a:t>
          </a:r>
          <a:r>
            <a:rPr lang="en-AU" sz="1100" baseline="0">
              <a:solidFill>
                <a:schemeClr val="bg1"/>
              </a:solidFill>
            </a:rPr>
            <a:t> and Categories as required. </a:t>
          </a:r>
        </a:p>
        <a:p>
          <a:pPr algn="l"/>
          <a:endParaRPr lang="en-AU" sz="1100" baseline="0">
            <a:solidFill>
              <a:schemeClr val="bg1"/>
            </a:solidFill>
          </a:endParaRPr>
        </a:p>
        <a:p>
          <a:pPr algn="l"/>
          <a:r>
            <a:rPr lang="en-AU" sz="1100" baseline="0">
              <a:solidFill>
                <a:schemeClr val="bg1"/>
              </a:solidFill>
            </a:rPr>
            <a:t>Note: Ignore any rows you don't need or delete the whole row to remove any you don't require and add new categories on the next available row under the table. </a:t>
          </a:r>
          <a:endParaRPr lang="en-AU" sz="1100">
            <a:solidFill>
              <a:schemeClr val="bg1"/>
            </a:solidFill>
          </a:endParaRPr>
        </a:p>
      </xdr:txBody>
    </xdr:sp>
    <xdr:clientData/>
  </xdr:twoCellAnchor>
  <xdr:twoCellAnchor editAs="absolute">
    <xdr:from>
      <xdr:col>5</xdr:col>
      <xdr:colOff>190500</xdr:colOff>
      <xdr:row>18</xdr:row>
      <xdr:rowOff>101600</xdr:rowOff>
    </xdr:from>
    <xdr:to>
      <xdr:col>7</xdr:col>
      <xdr:colOff>171450</xdr:colOff>
      <xdr:row>21</xdr:row>
      <xdr:rowOff>82550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D98D958A-206B-4B35-B8D1-5AF097BC482A}"/>
            </a:ext>
          </a:extLst>
        </xdr:cNvPr>
        <xdr:cNvSpPr/>
      </xdr:nvSpPr>
      <xdr:spPr>
        <a:xfrm>
          <a:off x="5038725" y="4264025"/>
          <a:ext cx="1200150" cy="552450"/>
        </a:xfrm>
        <a:prstGeom prst="rightArrow">
          <a:avLst>
            <a:gd name="adj1" fmla="val 50000"/>
            <a:gd name="adj2" fmla="val 57576"/>
          </a:avLst>
        </a:prstGeom>
      </xdr:spPr>
      <xdr:style>
        <a:lnRef idx="3">
          <a:schemeClr val="lt1"/>
        </a:lnRef>
        <a:fillRef idx="1">
          <a:schemeClr val="accent5"/>
        </a:fillRef>
        <a:effectRef idx="1">
          <a:schemeClr val="accent5"/>
        </a:effectRef>
        <a:fontRef idx="minor">
          <a:schemeClr val="lt1"/>
        </a:fontRef>
      </xdr:style>
      <xdr:txBody>
        <a:bodyPr vertOverflow="clip" horzOverflow="clip" rtlCol="0" anchor="ctr"/>
        <a:lstStyle/>
        <a:p>
          <a:pPr algn="l"/>
          <a:r>
            <a:rPr lang="en-AU" sz="1100"/>
            <a:t>Click Next Step</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0</xdr:row>
      <xdr:rowOff>0</xdr:rowOff>
    </xdr:from>
    <xdr:to>
      <xdr:col>2</xdr:col>
      <xdr:colOff>352425</xdr:colOff>
      <xdr:row>0</xdr:row>
      <xdr:rowOff>914400</xdr:rowOff>
    </xdr:to>
    <xdr:pic>
      <xdr:nvPicPr>
        <xdr:cNvPr id="3" name="Graphic 2" descr="Bullseye outline">
          <a:extLst>
            <a:ext uri="{FF2B5EF4-FFF2-40B4-BE49-F238E27FC236}">
              <a16:creationId xmlns:a16="http://schemas.microsoft.com/office/drawing/2014/main" id="{6795D094-0F31-70CD-D978-20FF77A745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09600" y="0"/>
          <a:ext cx="914400" cy="914400"/>
        </a:xfrm>
        <a:prstGeom prst="rect">
          <a:avLst/>
        </a:prstGeom>
      </xdr:spPr>
    </xdr:pic>
    <xdr:clientData/>
  </xdr:twoCellAnchor>
  <xdr:twoCellAnchor editAs="absolute">
    <xdr:from>
      <xdr:col>2</xdr:col>
      <xdr:colOff>130175</xdr:colOff>
      <xdr:row>18</xdr:row>
      <xdr:rowOff>57150</xdr:rowOff>
    </xdr:from>
    <xdr:to>
      <xdr:col>3</xdr:col>
      <xdr:colOff>95250</xdr:colOff>
      <xdr:row>22</xdr:row>
      <xdr:rowOff>34925</xdr:rowOff>
    </xdr:to>
    <xdr:sp macro="" textlink="">
      <xdr:nvSpPr>
        <xdr:cNvPr id="5" name="Speech Bubble: Rectangle 4">
          <a:extLst>
            <a:ext uri="{FF2B5EF4-FFF2-40B4-BE49-F238E27FC236}">
              <a16:creationId xmlns:a16="http://schemas.microsoft.com/office/drawing/2014/main" id="{BAA4FEFB-D2E1-B826-7FB5-7759CD2C47AE}"/>
            </a:ext>
          </a:extLst>
        </xdr:cNvPr>
        <xdr:cNvSpPr/>
      </xdr:nvSpPr>
      <xdr:spPr>
        <a:xfrm>
          <a:off x="958850" y="4057650"/>
          <a:ext cx="1365250" cy="701675"/>
        </a:xfrm>
        <a:prstGeom prst="wedgeRectCallout">
          <a:avLst>
            <a:gd name="adj1" fmla="val -24214"/>
            <a:gd name="adj2" fmla="val 70290"/>
          </a:avLst>
        </a:prstGeom>
        <a:gradFill flip="none" rotWithShape="1">
          <a:gsLst>
            <a:gs pos="0">
              <a:schemeClr val="accent4">
                <a:lumMod val="60000"/>
                <a:lumOff val="40000"/>
                <a:shade val="30000"/>
                <a:satMod val="115000"/>
              </a:schemeClr>
            </a:gs>
            <a:gs pos="50000">
              <a:schemeClr val="accent4">
                <a:lumMod val="60000"/>
                <a:lumOff val="40000"/>
                <a:shade val="67500"/>
                <a:satMod val="115000"/>
              </a:schemeClr>
            </a:gs>
            <a:gs pos="100000">
              <a:schemeClr val="accent4">
                <a:lumMod val="60000"/>
                <a:lumOff val="40000"/>
                <a:shade val="100000"/>
                <a:satMod val="115000"/>
              </a:schemeClr>
            </a:gs>
          </a:gsLst>
          <a:path path="circle">
            <a:fillToRect l="100000" b="100000"/>
          </a:path>
          <a:tileRect t="-100000" r="-100000"/>
        </a:gradFill>
        <a:ln>
          <a:solidFill>
            <a:schemeClr val="accent4">
              <a:lumMod val="60000"/>
              <a:lumOff val="40000"/>
            </a:schemeClr>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l"/>
          <a:r>
            <a:rPr lang="en-AU" sz="1100">
              <a:solidFill>
                <a:schemeClr val="bg1"/>
              </a:solidFill>
              <a:latin typeface="+mn-lt"/>
              <a:ea typeface="+mn-ea"/>
              <a:cs typeface="+mn-cs"/>
            </a:rPr>
            <a:t>Add more rows for future years or new sub-categories.</a:t>
          </a:r>
        </a:p>
      </xdr:txBody>
    </xdr:sp>
    <xdr:clientData/>
  </xdr:twoCellAnchor>
  <xdr:twoCellAnchor editAs="absolute">
    <xdr:from>
      <xdr:col>16</xdr:col>
      <xdr:colOff>441324</xdr:colOff>
      <xdr:row>12</xdr:row>
      <xdr:rowOff>0</xdr:rowOff>
    </xdr:from>
    <xdr:to>
      <xdr:col>18</xdr:col>
      <xdr:colOff>485774</xdr:colOff>
      <xdr:row>15</xdr:row>
      <xdr:rowOff>57150</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5751CEE6-3A74-46C5-9F28-F59B462D80F5}"/>
            </a:ext>
          </a:extLst>
        </xdr:cNvPr>
        <xdr:cNvSpPr/>
      </xdr:nvSpPr>
      <xdr:spPr>
        <a:xfrm>
          <a:off x="10375899" y="3019425"/>
          <a:ext cx="1263650" cy="628650"/>
        </a:xfrm>
        <a:prstGeom prst="rightArrow">
          <a:avLst>
            <a:gd name="adj1" fmla="val 50000"/>
            <a:gd name="adj2" fmla="val 57576"/>
          </a:avLst>
        </a:prstGeom>
        <a:solidFill>
          <a:schemeClr val="accent4">
            <a:lumMod val="60000"/>
            <a:lumOff val="40000"/>
          </a:schemeClr>
        </a:solidFill>
      </xdr:spPr>
      <xdr:style>
        <a:lnRef idx="3">
          <a:schemeClr val="lt1"/>
        </a:lnRef>
        <a:fillRef idx="1">
          <a:schemeClr val="accent2"/>
        </a:fillRef>
        <a:effectRef idx="1">
          <a:schemeClr val="accent2"/>
        </a:effectRef>
        <a:fontRef idx="minor">
          <a:schemeClr val="lt1"/>
        </a:fontRef>
      </xdr:style>
      <xdr:txBody>
        <a:bodyPr vertOverflow="clip" horzOverflow="clip" rtlCol="0" anchor="ctr"/>
        <a:lstStyle/>
        <a:p>
          <a:pPr algn="l"/>
          <a:r>
            <a:rPr lang="en-AU" sz="1100"/>
            <a:t>Click Next Step</a:t>
          </a:r>
        </a:p>
      </xdr:txBody>
    </xdr:sp>
    <xdr:clientData/>
  </xdr:twoCellAnchor>
  <xdr:twoCellAnchor editAs="absolute">
    <xdr:from>
      <xdr:col>15</xdr:col>
      <xdr:colOff>254000</xdr:colOff>
      <xdr:row>3</xdr:row>
      <xdr:rowOff>25400</xdr:rowOff>
    </xdr:from>
    <xdr:to>
      <xdr:col>18</xdr:col>
      <xdr:colOff>466725</xdr:colOff>
      <xdr:row>10</xdr:row>
      <xdr:rowOff>104775</xdr:rowOff>
    </xdr:to>
    <xdr:sp macro="" textlink="">
      <xdr:nvSpPr>
        <xdr:cNvPr id="9" name="Speech Bubble: Rectangle 8">
          <a:extLst>
            <a:ext uri="{FF2B5EF4-FFF2-40B4-BE49-F238E27FC236}">
              <a16:creationId xmlns:a16="http://schemas.microsoft.com/office/drawing/2014/main" id="{9834E5B1-92CB-41F4-8215-0CE7DCD4E034}"/>
            </a:ext>
          </a:extLst>
        </xdr:cNvPr>
        <xdr:cNvSpPr/>
      </xdr:nvSpPr>
      <xdr:spPr>
        <a:xfrm>
          <a:off x="10026650" y="1311275"/>
          <a:ext cx="2041525" cy="1346200"/>
        </a:xfrm>
        <a:prstGeom prst="wedgeRectCallout">
          <a:avLst>
            <a:gd name="adj1" fmla="val -56472"/>
            <a:gd name="adj2" fmla="val -21554"/>
          </a:avLst>
        </a:prstGeom>
        <a:gradFill flip="none" rotWithShape="1">
          <a:gsLst>
            <a:gs pos="0">
              <a:schemeClr val="accent4">
                <a:lumMod val="60000"/>
                <a:lumOff val="40000"/>
                <a:shade val="30000"/>
                <a:satMod val="115000"/>
              </a:schemeClr>
            </a:gs>
            <a:gs pos="50000">
              <a:schemeClr val="accent4">
                <a:lumMod val="60000"/>
                <a:lumOff val="40000"/>
                <a:shade val="67500"/>
                <a:satMod val="115000"/>
              </a:schemeClr>
            </a:gs>
            <a:gs pos="100000">
              <a:schemeClr val="accent4">
                <a:lumMod val="60000"/>
                <a:lumOff val="40000"/>
                <a:shade val="100000"/>
                <a:satMod val="115000"/>
              </a:schemeClr>
            </a:gs>
          </a:gsLst>
          <a:path path="circle">
            <a:fillToRect l="100000" b="100000"/>
          </a:path>
          <a:tileRect t="-100000" r="-100000"/>
        </a:gradFill>
        <a:ln>
          <a:solidFill>
            <a:schemeClr val="accent4">
              <a:lumMod val="60000"/>
              <a:lumOff val="40000"/>
            </a:schemeClr>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l"/>
          <a:r>
            <a:rPr lang="en-AU" sz="1100">
              <a:solidFill>
                <a:schemeClr val="bg1"/>
              </a:solidFill>
              <a:latin typeface="+mn-lt"/>
              <a:ea typeface="+mn-ea"/>
              <a:cs typeface="+mn-cs"/>
            </a:rPr>
            <a:t>The Salary and Tithe figures are already here from the first sheet, so no need to change those unless you receive a bonus.</a:t>
          </a:r>
        </a:p>
        <a:p>
          <a:pPr marL="0" indent="0" algn="l"/>
          <a:endParaRPr lang="en-AU" sz="1100">
            <a:solidFill>
              <a:schemeClr val="bg1"/>
            </a:solidFill>
            <a:latin typeface="+mn-lt"/>
            <a:ea typeface="+mn-ea"/>
            <a:cs typeface="+mn-cs"/>
          </a:endParaRPr>
        </a:p>
        <a:p>
          <a:pPr marL="0" indent="0" algn="l"/>
          <a:r>
            <a:rPr lang="en-AU" sz="1100">
              <a:solidFill>
                <a:schemeClr val="bg1"/>
              </a:solidFill>
              <a:latin typeface="+mn-lt"/>
              <a:ea typeface="+mn-ea"/>
              <a:cs typeface="+mn-cs"/>
            </a:rPr>
            <a:t>Add in any other income and savings as necessary.</a:t>
          </a:r>
        </a:p>
      </xdr:txBody>
    </xdr:sp>
    <xdr:clientData/>
  </xdr:twoCellAnchor>
  <xdr:twoCellAnchor editAs="absolute">
    <xdr:from>
      <xdr:col>15</xdr:col>
      <xdr:colOff>263525</xdr:colOff>
      <xdr:row>16</xdr:row>
      <xdr:rowOff>152401</xdr:rowOff>
    </xdr:from>
    <xdr:to>
      <xdr:col>18</xdr:col>
      <xdr:colOff>482600</xdr:colOff>
      <xdr:row>30</xdr:row>
      <xdr:rowOff>6351</xdr:rowOff>
    </xdr:to>
    <xdr:sp macro="" textlink="">
      <xdr:nvSpPr>
        <xdr:cNvPr id="10" name="Speech Bubble: Rectangle 9">
          <a:extLst>
            <a:ext uri="{FF2B5EF4-FFF2-40B4-BE49-F238E27FC236}">
              <a16:creationId xmlns:a16="http://schemas.microsoft.com/office/drawing/2014/main" id="{79760391-9F54-40E2-94AF-A1FB1B5C72D3}"/>
            </a:ext>
          </a:extLst>
        </xdr:cNvPr>
        <xdr:cNvSpPr/>
      </xdr:nvSpPr>
      <xdr:spPr>
        <a:xfrm>
          <a:off x="10036175" y="3790951"/>
          <a:ext cx="2047875" cy="2387600"/>
        </a:xfrm>
        <a:prstGeom prst="wedgeRectCallout">
          <a:avLst>
            <a:gd name="adj1" fmla="val -57867"/>
            <a:gd name="adj2" fmla="val 19138"/>
          </a:avLst>
        </a:prstGeom>
        <a:gradFill flip="none" rotWithShape="1">
          <a:gsLst>
            <a:gs pos="0">
              <a:schemeClr val="accent4">
                <a:lumMod val="60000"/>
                <a:lumOff val="40000"/>
                <a:shade val="30000"/>
                <a:satMod val="115000"/>
              </a:schemeClr>
            </a:gs>
            <a:gs pos="50000">
              <a:schemeClr val="accent4">
                <a:lumMod val="60000"/>
                <a:lumOff val="40000"/>
                <a:shade val="67500"/>
                <a:satMod val="115000"/>
              </a:schemeClr>
            </a:gs>
            <a:gs pos="100000">
              <a:schemeClr val="accent4">
                <a:lumMod val="60000"/>
                <a:lumOff val="40000"/>
                <a:shade val="100000"/>
                <a:satMod val="115000"/>
              </a:schemeClr>
            </a:gs>
          </a:gsLst>
          <a:path path="circle">
            <a:fillToRect l="100000" b="100000"/>
          </a:path>
          <a:tileRect t="-100000" r="-100000"/>
        </a:gradFill>
        <a:ln>
          <a:solidFill>
            <a:schemeClr val="accent4">
              <a:lumMod val="60000"/>
              <a:lumOff val="40000"/>
            </a:schemeClr>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marL="0" indent="0" algn="l"/>
          <a:r>
            <a:rPr lang="en-AU" sz="1100">
              <a:solidFill>
                <a:schemeClr val="bg1"/>
              </a:solidFill>
              <a:latin typeface="+mn-lt"/>
              <a:ea typeface="+mn-ea"/>
              <a:cs typeface="+mn-cs"/>
            </a:rPr>
            <a:t>Replace Budget data with your own figures.  Enter income as positive values and expenses as negative values.</a:t>
          </a:r>
        </a:p>
        <a:p>
          <a:pPr marL="0" indent="0" algn="l"/>
          <a:endParaRPr lang="en-AU" sz="1100">
            <a:solidFill>
              <a:schemeClr val="bg1"/>
            </a:solidFill>
            <a:latin typeface="+mn-lt"/>
            <a:ea typeface="+mn-ea"/>
            <a:cs typeface="+mn-cs"/>
          </a:endParaRPr>
        </a:p>
        <a:p>
          <a:pPr marL="0" indent="0" algn="l"/>
          <a:r>
            <a:rPr lang="en-AU" sz="1100">
              <a:solidFill>
                <a:schemeClr val="bg1"/>
              </a:solidFill>
              <a:latin typeface="+mn-lt"/>
              <a:ea typeface="+mn-ea"/>
              <a:cs typeface="+mn-cs"/>
            </a:rPr>
            <a:t>These numbers are what you are expecting to spend or save each month on the various items</a:t>
          </a:r>
        </a:p>
        <a:p>
          <a:pPr marL="0" indent="0" algn="l"/>
          <a:endParaRPr lang="en-AU" sz="1100">
            <a:solidFill>
              <a:schemeClr val="bg1"/>
            </a:solidFill>
            <a:latin typeface="+mn-lt"/>
            <a:ea typeface="+mn-ea"/>
            <a:cs typeface="+mn-cs"/>
          </a:endParaRPr>
        </a:p>
        <a:p>
          <a:pPr marL="0" indent="0" algn="l"/>
          <a:r>
            <a:rPr lang="en-AU" sz="1100">
              <a:solidFill>
                <a:schemeClr val="bg1"/>
              </a:solidFill>
              <a:latin typeface="+mn-lt"/>
              <a:ea typeface="+mn-ea"/>
              <a:cs typeface="+mn-cs"/>
            </a:rPr>
            <a:t>You can estimate these figures based on previous years of spending and anticipated future spend</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66675</xdr:colOff>
      <xdr:row>0</xdr:row>
      <xdr:rowOff>0</xdr:rowOff>
    </xdr:from>
    <xdr:to>
      <xdr:col>1</xdr:col>
      <xdr:colOff>828675</xdr:colOff>
      <xdr:row>0</xdr:row>
      <xdr:rowOff>762000</xdr:rowOff>
    </xdr:to>
    <xdr:pic>
      <xdr:nvPicPr>
        <xdr:cNvPr id="12" name="Graphic 11" descr="Bank outline">
          <a:extLst>
            <a:ext uri="{FF2B5EF4-FFF2-40B4-BE49-F238E27FC236}">
              <a16:creationId xmlns:a16="http://schemas.microsoft.com/office/drawing/2014/main" id="{6948069E-0D42-017E-5C13-9601D5AB4C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6675" y="0"/>
          <a:ext cx="762000" cy="762000"/>
        </a:xfrm>
        <a:prstGeom prst="rect">
          <a:avLst/>
        </a:prstGeom>
      </xdr:spPr>
    </xdr:pic>
    <xdr:clientData/>
  </xdr:twoCellAnchor>
  <xdr:twoCellAnchor editAs="absolute">
    <xdr:from>
      <xdr:col>7</xdr:col>
      <xdr:colOff>209550</xdr:colOff>
      <xdr:row>8</xdr:row>
      <xdr:rowOff>19050</xdr:rowOff>
    </xdr:from>
    <xdr:to>
      <xdr:col>9</xdr:col>
      <xdr:colOff>323850</xdr:colOff>
      <xdr:row>11</xdr:row>
      <xdr:rowOff>76200</xdr:rowOff>
    </xdr:to>
    <xdr:sp macro="" textlink="">
      <xdr:nvSpPr>
        <xdr:cNvPr id="13" name="Arrow: Right 12">
          <a:hlinkClick xmlns:r="http://schemas.openxmlformats.org/officeDocument/2006/relationships" r:id="rId3"/>
          <a:extLst>
            <a:ext uri="{FF2B5EF4-FFF2-40B4-BE49-F238E27FC236}">
              <a16:creationId xmlns:a16="http://schemas.microsoft.com/office/drawing/2014/main" id="{DE1AEC09-2DE4-49E9-9D41-62200A22FAC7}"/>
            </a:ext>
          </a:extLst>
        </xdr:cNvPr>
        <xdr:cNvSpPr/>
      </xdr:nvSpPr>
      <xdr:spPr>
        <a:xfrm>
          <a:off x="5715000" y="2209800"/>
          <a:ext cx="1333500" cy="600075"/>
        </a:xfrm>
        <a:prstGeom prst="rightArrow">
          <a:avLst>
            <a:gd name="adj1" fmla="val 50000"/>
            <a:gd name="adj2" fmla="val 57576"/>
          </a:avLst>
        </a:prstGeom>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l"/>
          <a:r>
            <a:rPr lang="en-AU" sz="1100"/>
            <a:t>Click Next Step</a:t>
          </a:r>
        </a:p>
      </xdr:txBody>
    </xdr:sp>
    <xdr:clientData/>
  </xdr:twoCellAnchor>
  <xdr:twoCellAnchor editAs="absolute">
    <xdr:from>
      <xdr:col>0</xdr:col>
      <xdr:colOff>228600</xdr:colOff>
      <xdr:row>1</xdr:row>
      <xdr:rowOff>38100</xdr:rowOff>
    </xdr:from>
    <xdr:to>
      <xdr:col>2</xdr:col>
      <xdr:colOff>266700</xdr:colOff>
      <xdr:row>7</xdr:row>
      <xdr:rowOff>133350</xdr:rowOff>
    </xdr:to>
    <mc:AlternateContent xmlns:mc="http://schemas.openxmlformats.org/markup-compatibility/2006" xmlns:sle15="http://schemas.microsoft.com/office/drawing/2012/slicer">
      <mc:Choice Requires="sle15">
        <xdr:graphicFrame macro="">
          <xdr:nvGraphicFramePr>
            <xdr:cNvPr id="5" name="Account 1">
              <a:extLst>
                <a:ext uri="{FF2B5EF4-FFF2-40B4-BE49-F238E27FC236}">
                  <a16:creationId xmlns:a16="http://schemas.microsoft.com/office/drawing/2014/main" id="{AFF859BB-8DD1-9C96-B841-D1A5BB2DE59B}"/>
                </a:ext>
              </a:extLst>
            </xdr:cNvPr>
            <xdr:cNvGraphicFramePr/>
          </xdr:nvGraphicFramePr>
          <xdr:xfrm>
            <a:off x="0" y="0"/>
            <a:ext cx="0" cy="0"/>
          </xdr:xfrm>
          <a:graphic>
            <a:graphicData uri="http://schemas.microsoft.com/office/drawing/2010/slicer">
              <sle:slicer xmlns:sle="http://schemas.microsoft.com/office/drawing/2010/slicer" name="Account 1"/>
            </a:graphicData>
          </a:graphic>
        </xdr:graphicFrame>
      </mc:Choice>
      <mc:Fallback xmlns="">
        <xdr:sp macro="" textlink="">
          <xdr:nvSpPr>
            <xdr:cNvPr id="0" name=""/>
            <xdr:cNvSpPr>
              <a:spLocks noTextEdit="1"/>
            </xdr:cNvSpPr>
          </xdr:nvSpPr>
          <xdr:spPr>
            <a:xfrm>
              <a:off x="228600" y="962025"/>
              <a:ext cx="1162050" cy="1238250"/>
            </a:xfrm>
            <a:prstGeom prst="rect">
              <a:avLst/>
            </a:prstGeom>
            <a:solidFill>
              <a:prstClr val="white"/>
            </a:solidFill>
            <a:ln w="1">
              <a:solidFill>
                <a:prstClr val="green"/>
              </a:solidFill>
            </a:ln>
          </xdr:spPr>
          <xdr:txBody>
            <a:bodyPr vertOverflow="clip" horzOverflow="clip"/>
            <a:lstStyle/>
            <a:p>
              <a:r>
                <a:rPr lang="en-AU"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285750</xdr:colOff>
      <xdr:row>1</xdr:row>
      <xdr:rowOff>28576</xdr:rowOff>
    </xdr:from>
    <xdr:to>
      <xdr:col>7</xdr:col>
      <xdr:colOff>9526</xdr:colOff>
      <xdr:row>7</xdr:row>
      <xdr:rowOff>123826</xdr:rowOff>
    </xdr:to>
    <mc:AlternateContent xmlns:mc="http://schemas.openxmlformats.org/markup-compatibility/2006" xmlns:sle15="http://schemas.microsoft.com/office/drawing/2012/slicer">
      <mc:Choice Requires="sle15">
        <xdr:graphicFrame macro="">
          <xdr:nvGraphicFramePr>
            <xdr:cNvPr id="6" name="Sub-category">
              <a:extLst>
                <a:ext uri="{FF2B5EF4-FFF2-40B4-BE49-F238E27FC236}">
                  <a16:creationId xmlns:a16="http://schemas.microsoft.com/office/drawing/2014/main" id="{A2D4C477-AD39-80C9-BBBF-3D6E7E4674CD}"/>
                </a:ext>
              </a:extLst>
            </xdr:cNvPr>
            <xdr:cNvGraphicFramePr/>
          </xdr:nvGraphicFramePr>
          <xdr:xfrm>
            <a:off x="0" y="0"/>
            <a:ext cx="0" cy="0"/>
          </xdr:xfrm>
          <a:graphic>
            <a:graphicData uri="http://schemas.microsoft.com/office/drawing/2010/slicer">
              <sle:slicer xmlns:sle="http://schemas.microsoft.com/office/drawing/2010/slicer" name="Sub-category"/>
            </a:graphicData>
          </a:graphic>
        </xdr:graphicFrame>
      </mc:Choice>
      <mc:Fallback xmlns="">
        <xdr:sp macro="" textlink="">
          <xdr:nvSpPr>
            <xdr:cNvPr id="0" name=""/>
            <xdr:cNvSpPr>
              <a:spLocks noTextEdit="1"/>
            </xdr:cNvSpPr>
          </xdr:nvSpPr>
          <xdr:spPr>
            <a:xfrm>
              <a:off x="1409700" y="952501"/>
              <a:ext cx="3876676" cy="1238250"/>
            </a:xfrm>
            <a:prstGeom prst="rect">
              <a:avLst/>
            </a:prstGeom>
            <a:solidFill>
              <a:prstClr val="white"/>
            </a:solidFill>
            <a:ln w="1">
              <a:solidFill>
                <a:prstClr val="green"/>
              </a:solidFill>
            </a:ln>
          </xdr:spPr>
          <xdr:txBody>
            <a:bodyPr vertOverflow="clip" horzOverflow="clip"/>
            <a:lstStyle/>
            <a:p>
              <a:r>
                <a:rPr lang="en-AU"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7</xdr:col>
      <xdr:colOff>209550</xdr:colOff>
      <xdr:row>1</xdr:row>
      <xdr:rowOff>66675</xdr:rowOff>
    </xdr:from>
    <xdr:to>
      <xdr:col>9</xdr:col>
      <xdr:colOff>209550</xdr:colOff>
      <xdr:row>5</xdr:row>
      <xdr:rowOff>123825</xdr:rowOff>
    </xdr:to>
    <xdr:sp macro="" textlink="">
      <xdr:nvSpPr>
        <xdr:cNvPr id="7" name="Speech Bubble: Rectangle 6">
          <a:extLst>
            <a:ext uri="{FF2B5EF4-FFF2-40B4-BE49-F238E27FC236}">
              <a16:creationId xmlns:a16="http://schemas.microsoft.com/office/drawing/2014/main" id="{C1CE36BD-9F37-CBD9-9753-70588590E901}"/>
            </a:ext>
          </a:extLst>
        </xdr:cNvPr>
        <xdr:cNvSpPr/>
      </xdr:nvSpPr>
      <xdr:spPr>
        <a:xfrm>
          <a:off x="5486400" y="990600"/>
          <a:ext cx="1219200" cy="819150"/>
        </a:xfrm>
        <a:prstGeom prst="wedgeRectCallout">
          <a:avLst>
            <a:gd name="adj1" fmla="val -58991"/>
            <a:gd name="adj2" fmla="val -23774"/>
          </a:avLst>
        </a:prstGeom>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AU" sz="1100">
              <a:solidFill>
                <a:schemeClr val="bg1"/>
              </a:solidFill>
            </a:rPr>
            <a:t>Use the Slicers to filter the table and find transactions more easily.</a:t>
          </a:r>
        </a:p>
      </xdr:txBody>
    </xdr:sp>
    <xdr:clientData/>
  </xdr:twoCellAnchor>
  <xdr:twoCellAnchor editAs="absolute">
    <xdr:from>
      <xdr:col>7</xdr:col>
      <xdr:colOff>209550</xdr:colOff>
      <xdr:row>12</xdr:row>
      <xdr:rowOff>76200</xdr:rowOff>
    </xdr:from>
    <xdr:to>
      <xdr:col>9</xdr:col>
      <xdr:colOff>209550</xdr:colOff>
      <xdr:row>19</xdr:row>
      <xdr:rowOff>19051</xdr:rowOff>
    </xdr:to>
    <xdr:sp macro="" textlink="">
      <xdr:nvSpPr>
        <xdr:cNvPr id="2" name="Speech Bubble: Rectangle 1">
          <a:extLst>
            <a:ext uri="{FF2B5EF4-FFF2-40B4-BE49-F238E27FC236}">
              <a16:creationId xmlns:a16="http://schemas.microsoft.com/office/drawing/2014/main" id="{5DE9952B-7A5B-46B5-93DC-FA364C00F9C2}"/>
            </a:ext>
          </a:extLst>
        </xdr:cNvPr>
        <xdr:cNvSpPr/>
      </xdr:nvSpPr>
      <xdr:spPr>
        <a:xfrm>
          <a:off x="5486400" y="3095625"/>
          <a:ext cx="1219200" cy="1276351"/>
        </a:xfrm>
        <a:prstGeom prst="wedgeRectCallout">
          <a:avLst>
            <a:gd name="adj1" fmla="val -58991"/>
            <a:gd name="adj2" fmla="val -23774"/>
          </a:avLst>
        </a:prstGeom>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AU" sz="1100">
              <a:solidFill>
                <a:schemeClr val="bg1"/>
              </a:solidFill>
            </a:rPr>
            <a:t>These are example transactions - you should replace these with your own real ones from your bank statement.</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209550</xdr:colOff>
      <xdr:row>0</xdr:row>
      <xdr:rowOff>123825</xdr:rowOff>
    </xdr:from>
    <xdr:to>
      <xdr:col>1</xdr:col>
      <xdr:colOff>276225</xdr:colOff>
      <xdr:row>0</xdr:row>
      <xdr:rowOff>876300</xdr:rowOff>
    </xdr:to>
    <xdr:pic>
      <xdr:nvPicPr>
        <xdr:cNvPr id="8" name="Graphic 7" descr="Research outline">
          <a:extLst>
            <a:ext uri="{FF2B5EF4-FFF2-40B4-BE49-F238E27FC236}">
              <a16:creationId xmlns:a16="http://schemas.microsoft.com/office/drawing/2014/main" id="{F276C130-71F4-44A6-9D4E-6A824B27A1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550" y="123825"/>
          <a:ext cx="752475" cy="752475"/>
        </a:xfrm>
        <a:prstGeom prst="rect">
          <a:avLst/>
        </a:prstGeom>
      </xdr:spPr>
    </xdr:pic>
    <xdr:clientData/>
  </xdr:twoCellAnchor>
  <xdr:twoCellAnchor editAs="absolute">
    <xdr:from>
      <xdr:col>6</xdr:col>
      <xdr:colOff>600076</xdr:colOff>
      <xdr:row>0</xdr:row>
      <xdr:rowOff>59400</xdr:rowOff>
    </xdr:from>
    <xdr:to>
      <xdr:col>8</xdr:col>
      <xdr:colOff>219076</xdr:colOff>
      <xdr:row>1</xdr:row>
      <xdr:rowOff>47625</xdr:rowOff>
    </xdr:to>
    <xdr:grpSp>
      <xdr:nvGrpSpPr>
        <xdr:cNvPr id="36" name="Group 35">
          <a:extLst>
            <a:ext uri="{FF2B5EF4-FFF2-40B4-BE49-F238E27FC236}">
              <a16:creationId xmlns:a16="http://schemas.microsoft.com/office/drawing/2014/main" id="{9DE4B8BB-D55A-24AA-F68A-AFA6EAD2B9CF}"/>
            </a:ext>
          </a:extLst>
        </xdr:cNvPr>
        <xdr:cNvGrpSpPr/>
      </xdr:nvGrpSpPr>
      <xdr:grpSpPr>
        <a:xfrm>
          <a:off x="5810251" y="59400"/>
          <a:ext cx="1381125" cy="988350"/>
          <a:chOff x="3891243" y="59400"/>
          <a:chExt cx="1427549" cy="855000"/>
        </a:xfrm>
      </xdr:grpSpPr>
      <xdr:sp macro="" textlink="$L$24">
        <xdr:nvSpPr>
          <xdr:cNvPr id="16" name="Rectangle 15">
            <a:extLst>
              <a:ext uri="{FF2B5EF4-FFF2-40B4-BE49-F238E27FC236}">
                <a16:creationId xmlns:a16="http://schemas.microsoft.com/office/drawing/2014/main" id="{8D669D71-9AA4-A90D-19EE-E35286C81E8F}"/>
              </a:ext>
            </a:extLst>
          </xdr:cNvPr>
          <xdr:cNvSpPr/>
        </xdr:nvSpPr>
        <xdr:spPr>
          <a:xfrm>
            <a:off x="4147817" y="400051"/>
            <a:ext cx="914401" cy="228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DB63CCBE-472E-4F45-A12C-6784734D59E6}" type="TxLink">
              <a:rPr lang="en-US" sz="1400" b="0" i="0" u="none" strike="noStrike">
                <a:solidFill>
                  <a:schemeClr val="accent6">
                    <a:lumMod val="50000"/>
                  </a:schemeClr>
                </a:solidFill>
                <a:latin typeface="Aptos Narrow"/>
                <a:ea typeface="+mn-ea"/>
                <a:cs typeface="+mn-cs"/>
              </a:rPr>
              <a:pPr marL="0" indent="0" algn="ctr"/>
              <a:t>(£1,115)</a:t>
            </a:fld>
            <a:endParaRPr lang="en-AU" sz="1400" b="0" i="0" u="none" strike="noStrike">
              <a:solidFill>
                <a:schemeClr val="accent6">
                  <a:lumMod val="50000"/>
                </a:schemeClr>
              </a:solidFill>
              <a:latin typeface="Aptos Narrow"/>
              <a:ea typeface="+mn-ea"/>
              <a:cs typeface="+mn-cs"/>
            </a:endParaRPr>
          </a:p>
        </xdr:txBody>
      </xdr:sp>
      <xdr:pic>
        <xdr:nvPicPr>
          <xdr:cNvPr id="24" name="Graphic 23" descr="House outline">
            <a:extLst>
              <a:ext uri="{FF2B5EF4-FFF2-40B4-BE49-F238E27FC236}">
                <a16:creationId xmlns:a16="http://schemas.microsoft.com/office/drawing/2014/main" id="{BF2A7A62-F6A7-426D-AA14-99A2A0EDEB9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425017" y="59400"/>
            <a:ext cx="360000" cy="360000"/>
          </a:xfrm>
          <a:prstGeom prst="rect">
            <a:avLst/>
          </a:prstGeom>
        </xdr:spPr>
      </xdr:pic>
      <xdr:sp macro="" textlink="">
        <xdr:nvSpPr>
          <xdr:cNvPr id="25" name="Rectangle 24">
            <a:extLst>
              <a:ext uri="{FF2B5EF4-FFF2-40B4-BE49-F238E27FC236}">
                <a16:creationId xmlns:a16="http://schemas.microsoft.com/office/drawing/2014/main" id="{7CE0DDD0-0BCC-FF28-235A-E972E98A0B53}"/>
              </a:ext>
            </a:extLst>
          </xdr:cNvPr>
          <xdr:cNvSpPr/>
        </xdr:nvSpPr>
        <xdr:spPr>
          <a:xfrm>
            <a:off x="3891243" y="571501"/>
            <a:ext cx="1427549" cy="3428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050" b="0" i="0">
                <a:solidFill>
                  <a:schemeClr val="accent6">
                    <a:lumMod val="50000"/>
                  </a:schemeClr>
                </a:solidFill>
                <a:effectLst/>
                <a:latin typeface="+mn-lt"/>
                <a:ea typeface="+mn-ea"/>
                <a:cs typeface="+mn-cs"/>
              </a:rPr>
              <a:t>LIVING</a:t>
            </a:r>
            <a:r>
              <a:rPr lang="en-US" sz="1050" b="0" i="0" baseline="0">
                <a:solidFill>
                  <a:schemeClr val="accent6">
                    <a:lumMod val="50000"/>
                  </a:schemeClr>
                </a:solidFill>
                <a:effectLst/>
                <a:latin typeface="+mn-lt"/>
                <a:ea typeface="+mn-ea"/>
                <a:cs typeface="+mn-cs"/>
              </a:rPr>
              <a:t> EXPENSES</a:t>
            </a:r>
            <a:endParaRPr lang="en-AU" sz="1000">
              <a:solidFill>
                <a:schemeClr val="accent6">
                  <a:lumMod val="50000"/>
                </a:schemeClr>
              </a:solidFill>
              <a:effectLst/>
            </a:endParaRPr>
          </a:p>
        </xdr:txBody>
      </xdr:sp>
    </xdr:grpSp>
    <xdr:clientData/>
  </xdr:twoCellAnchor>
  <xdr:twoCellAnchor editAs="absolute">
    <xdr:from>
      <xdr:col>8</xdr:col>
      <xdr:colOff>145732</xdr:colOff>
      <xdr:row>0</xdr:row>
      <xdr:rowOff>49174</xdr:rowOff>
    </xdr:from>
    <xdr:to>
      <xdr:col>9</xdr:col>
      <xdr:colOff>21908</xdr:colOff>
      <xdr:row>1</xdr:row>
      <xdr:rowOff>47625</xdr:rowOff>
    </xdr:to>
    <xdr:grpSp>
      <xdr:nvGrpSpPr>
        <xdr:cNvPr id="37" name="Group 36">
          <a:extLst>
            <a:ext uri="{FF2B5EF4-FFF2-40B4-BE49-F238E27FC236}">
              <a16:creationId xmlns:a16="http://schemas.microsoft.com/office/drawing/2014/main" id="{8547D9BF-1271-7326-AA3A-6266116D6F39}"/>
            </a:ext>
          </a:extLst>
        </xdr:cNvPr>
        <xdr:cNvGrpSpPr/>
      </xdr:nvGrpSpPr>
      <xdr:grpSpPr>
        <a:xfrm>
          <a:off x="7118032" y="49174"/>
          <a:ext cx="914401" cy="998576"/>
          <a:chOff x="5281613" y="42824"/>
          <a:chExt cx="914401" cy="871576"/>
        </a:xfrm>
      </xdr:grpSpPr>
      <xdr:pic>
        <xdr:nvPicPr>
          <xdr:cNvPr id="19" name="Graphic 18" descr="Table setting outline">
            <a:extLst>
              <a:ext uri="{FF2B5EF4-FFF2-40B4-BE49-F238E27FC236}">
                <a16:creationId xmlns:a16="http://schemas.microsoft.com/office/drawing/2014/main" id="{DAE12D58-1756-4764-99B2-F22FBF123C4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5558812" y="42824"/>
            <a:ext cx="386693" cy="386693"/>
          </a:xfrm>
          <a:prstGeom prst="rect">
            <a:avLst/>
          </a:prstGeom>
        </xdr:spPr>
      </xdr:pic>
      <xdr:sp macro="" textlink="$L$24">
        <xdr:nvSpPr>
          <xdr:cNvPr id="26" name="Rectangle 25">
            <a:extLst>
              <a:ext uri="{FF2B5EF4-FFF2-40B4-BE49-F238E27FC236}">
                <a16:creationId xmlns:a16="http://schemas.microsoft.com/office/drawing/2014/main" id="{C771BDDD-B034-0743-3332-22C00BBECACE}"/>
              </a:ext>
            </a:extLst>
          </xdr:cNvPr>
          <xdr:cNvSpPr/>
        </xdr:nvSpPr>
        <xdr:spPr>
          <a:xfrm>
            <a:off x="5281613" y="400051"/>
            <a:ext cx="914401" cy="228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DBDFB442-0ED9-4138-A552-BDC3374A1410}" type="TxLink">
              <a:rPr lang="en-US" sz="1400" b="0" i="0" u="none" strike="noStrike">
                <a:solidFill>
                  <a:schemeClr val="accent6">
                    <a:lumMod val="50000"/>
                  </a:schemeClr>
                </a:solidFill>
                <a:latin typeface="Aptos Narrow"/>
                <a:ea typeface="+mn-ea"/>
                <a:cs typeface="+mn-cs"/>
              </a:rPr>
              <a:pPr marL="0" indent="0" algn="ctr"/>
              <a:t>(£1,115)</a:t>
            </a:fld>
            <a:endParaRPr lang="en-AU" sz="1400" b="0" i="0" u="none" strike="noStrike">
              <a:solidFill>
                <a:schemeClr val="accent6">
                  <a:lumMod val="50000"/>
                </a:schemeClr>
              </a:solidFill>
              <a:latin typeface="Aptos Narrow"/>
              <a:ea typeface="+mn-ea"/>
              <a:cs typeface="+mn-cs"/>
            </a:endParaRPr>
          </a:p>
        </xdr:txBody>
      </xdr:sp>
      <xdr:sp macro="" textlink="">
        <xdr:nvSpPr>
          <xdr:cNvPr id="27" name="Rectangle 26">
            <a:extLst>
              <a:ext uri="{FF2B5EF4-FFF2-40B4-BE49-F238E27FC236}">
                <a16:creationId xmlns:a16="http://schemas.microsoft.com/office/drawing/2014/main" id="{B93421C7-EB5D-F9C6-18FA-5DB13A21C552}"/>
              </a:ext>
            </a:extLst>
          </xdr:cNvPr>
          <xdr:cNvSpPr/>
        </xdr:nvSpPr>
        <xdr:spPr>
          <a:xfrm>
            <a:off x="5291138" y="571501"/>
            <a:ext cx="895350" cy="3428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accent6">
                    <a:lumMod val="50000"/>
                  </a:schemeClr>
                </a:solidFill>
                <a:effectLst/>
                <a:latin typeface="+mn-lt"/>
                <a:ea typeface="+mn-ea"/>
                <a:cs typeface="+mn-cs"/>
              </a:rPr>
              <a:t>DINING OUT</a:t>
            </a:r>
            <a:endParaRPr lang="en-AU" sz="1050">
              <a:solidFill>
                <a:schemeClr val="accent6">
                  <a:lumMod val="50000"/>
                </a:schemeClr>
              </a:solidFill>
              <a:effectLst/>
            </a:endParaRPr>
          </a:p>
        </xdr:txBody>
      </xdr:sp>
    </xdr:grpSp>
    <xdr:clientData/>
  </xdr:twoCellAnchor>
  <xdr:twoCellAnchor editAs="absolute">
    <xdr:from>
      <xdr:col>8</xdr:col>
      <xdr:colOff>1019175</xdr:colOff>
      <xdr:row>0</xdr:row>
      <xdr:rowOff>45925</xdr:rowOff>
    </xdr:from>
    <xdr:to>
      <xdr:col>9</xdr:col>
      <xdr:colOff>1228725</xdr:colOff>
      <xdr:row>1</xdr:row>
      <xdr:rowOff>47625</xdr:rowOff>
    </xdr:to>
    <xdr:grpSp>
      <xdr:nvGrpSpPr>
        <xdr:cNvPr id="38" name="Group 37">
          <a:extLst>
            <a:ext uri="{FF2B5EF4-FFF2-40B4-BE49-F238E27FC236}">
              <a16:creationId xmlns:a16="http://schemas.microsoft.com/office/drawing/2014/main" id="{8216C49F-E2CD-3CFA-A517-CF93B0CBC0B4}"/>
            </a:ext>
          </a:extLst>
        </xdr:cNvPr>
        <xdr:cNvGrpSpPr/>
      </xdr:nvGrpSpPr>
      <xdr:grpSpPr>
        <a:xfrm>
          <a:off x="7991475" y="45925"/>
          <a:ext cx="1247775" cy="1001825"/>
          <a:chOff x="6166486" y="52275"/>
          <a:chExt cx="1247775" cy="862125"/>
        </a:xfrm>
      </xdr:grpSpPr>
      <xdr:pic>
        <xdr:nvPicPr>
          <xdr:cNvPr id="23" name="Graphic 22" descr="Credit card outline">
            <a:extLst>
              <a:ext uri="{FF2B5EF4-FFF2-40B4-BE49-F238E27FC236}">
                <a16:creationId xmlns:a16="http://schemas.microsoft.com/office/drawing/2014/main" id="{0CBCC549-179A-4064-9AAC-99CBA898877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6616088" y="52275"/>
            <a:ext cx="360000" cy="360000"/>
          </a:xfrm>
          <a:prstGeom prst="rect">
            <a:avLst/>
          </a:prstGeom>
        </xdr:spPr>
      </xdr:pic>
      <xdr:sp macro="" textlink="L25">
        <xdr:nvSpPr>
          <xdr:cNvPr id="28" name="Rectangle 27">
            <a:extLst>
              <a:ext uri="{FF2B5EF4-FFF2-40B4-BE49-F238E27FC236}">
                <a16:creationId xmlns:a16="http://schemas.microsoft.com/office/drawing/2014/main" id="{D3A53DB6-51B3-792A-CF51-5C7A420091A9}"/>
              </a:ext>
            </a:extLst>
          </xdr:cNvPr>
          <xdr:cNvSpPr/>
        </xdr:nvSpPr>
        <xdr:spPr>
          <a:xfrm>
            <a:off x="6338888" y="400051"/>
            <a:ext cx="914401" cy="228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403E7A47-BD1C-4CEB-A847-A5CE45E0D7D8}" type="TxLink">
              <a:rPr lang="en-US" sz="1400" b="0" i="0" u="none" strike="noStrike">
                <a:solidFill>
                  <a:schemeClr val="accent6">
                    <a:lumMod val="50000"/>
                  </a:schemeClr>
                </a:solidFill>
                <a:latin typeface="Aptos Narrow"/>
                <a:ea typeface="+mn-ea"/>
                <a:cs typeface="+mn-cs"/>
              </a:rPr>
              <a:pPr marL="0" indent="0" algn="ctr"/>
              <a:t>(£6,854)</a:t>
            </a:fld>
            <a:endParaRPr lang="en-AU" sz="1400" b="0" i="0" u="none" strike="noStrike">
              <a:solidFill>
                <a:schemeClr val="accent6">
                  <a:lumMod val="50000"/>
                </a:schemeClr>
              </a:solidFill>
              <a:latin typeface="Aptos Narrow"/>
              <a:ea typeface="+mn-ea"/>
              <a:cs typeface="+mn-cs"/>
            </a:endParaRPr>
          </a:p>
        </xdr:txBody>
      </xdr:sp>
      <xdr:sp macro="" textlink="">
        <xdr:nvSpPr>
          <xdr:cNvPr id="29" name="Rectangle 28">
            <a:extLst>
              <a:ext uri="{FF2B5EF4-FFF2-40B4-BE49-F238E27FC236}">
                <a16:creationId xmlns:a16="http://schemas.microsoft.com/office/drawing/2014/main" id="{C388F10D-F678-9BBF-68AC-FB8EE4C802A3}"/>
              </a:ext>
            </a:extLst>
          </xdr:cNvPr>
          <xdr:cNvSpPr/>
        </xdr:nvSpPr>
        <xdr:spPr>
          <a:xfrm>
            <a:off x="6166486" y="571501"/>
            <a:ext cx="1247775" cy="3428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accent6">
                    <a:lumMod val="50000"/>
                  </a:schemeClr>
                </a:solidFill>
                <a:effectLst/>
                <a:latin typeface="+mn-lt"/>
                <a:ea typeface="+mn-ea"/>
                <a:cs typeface="+mn-cs"/>
              </a:rPr>
              <a:t>DISCRETIONARY</a:t>
            </a:r>
            <a:endParaRPr lang="en-AU" sz="1050">
              <a:solidFill>
                <a:schemeClr val="accent6">
                  <a:lumMod val="50000"/>
                </a:schemeClr>
              </a:solidFill>
              <a:effectLst/>
            </a:endParaRPr>
          </a:p>
        </xdr:txBody>
      </xdr:sp>
    </xdr:grpSp>
    <xdr:clientData/>
  </xdr:twoCellAnchor>
  <xdr:twoCellAnchor editAs="absolute">
    <xdr:from>
      <xdr:col>10</xdr:col>
      <xdr:colOff>897254</xdr:colOff>
      <xdr:row>0</xdr:row>
      <xdr:rowOff>47550</xdr:rowOff>
    </xdr:from>
    <xdr:to>
      <xdr:col>11</xdr:col>
      <xdr:colOff>230505</xdr:colOff>
      <xdr:row>1</xdr:row>
      <xdr:rowOff>47625</xdr:rowOff>
    </xdr:to>
    <xdr:grpSp>
      <xdr:nvGrpSpPr>
        <xdr:cNvPr id="40" name="Group 39">
          <a:extLst>
            <a:ext uri="{FF2B5EF4-FFF2-40B4-BE49-F238E27FC236}">
              <a16:creationId xmlns:a16="http://schemas.microsoft.com/office/drawing/2014/main" id="{300ED965-C7C5-43B6-8727-E376CF926A6B}"/>
            </a:ext>
          </a:extLst>
        </xdr:cNvPr>
        <xdr:cNvGrpSpPr/>
      </xdr:nvGrpSpPr>
      <xdr:grpSpPr>
        <a:xfrm>
          <a:off x="10165079" y="47550"/>
          <a:ext cx="914401" cy="1000200"/>
          <a:chOff x="8281988" y="46292"/>
          <a:chExt cx="914401" cy="868108"/>
        </a:xfrm>
      </xdr:grpSpPr>
      <xdr:pic>
        <xdr:nvPicPr>
          <xdr:cNvPr id="21" name="Graphic 20" descr="Stethoscope outline">
            <a:extLst>
              <a:ext uri="{FF2B5EF4-FFF2-40B4-BE49-F238E27FC236}">
                <a16:creationId xmlns:a16="http://schemas.microsoft.com/office/drawing/2014/main" id="{A425B2FF-1977-4C67-B5B0-830AB45CE07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8559188" y="46292"/>
            <a:ext cx="360000" cy="360000"/>
          </a:xfrm>
          <a:prstGeom prst="rect">
            <a:avLst/>
          </a:prstGeom>
        </xdr:spPr>
      </xdr:pic>
      <xdr:sp macro="" textlink="L27">
        <xdr:nvSpPr>
          <xdr:cNvPr id="30" name="Rectangle 29">
            <a:extLst>
              <a:ext uri="{FF2B5EF4-FFF2-40B4-BE49-F238E27FC236}">
                <a16:creationId xmlns:a16="http://schemas.microsoft.com/office/drawing/2014/main" id="{F66E7EC9-3356-8EC1-C0F5-A3DB0982800E}"/>
              </a:ext>
            </a:extLst>
          </xdr:cNvPr>
          <xdr:cNvSpPr/>
        </xdr:nvSpPr>
        <xdr:spPr>
          <a:xfrm>
            <a:off x="8281988" y="400051"/>
            <a:ext cx="914401" cy="228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BD4E8B06-ACD3-41BB-885F-9014D39E268B}" type="TxLink">
              <a:rPr lang="en-US" sz="1400" b="0" i="0" u="none" strike="noStrike">
                <a:solidFill>
                  <a:schemeClr val="accent6">
                    <a:lumMod val="50000"/>
                  </a:schemeClr>
                </a:solidFill>
                <a:latin typeface="Aptos Narrow"/>
                <a:ea typeface="+mn-ea"/>
                <a:cs typeface="+mn-cs"/>
              </a:rPr>
              <a:pPr marL="0" indent="0" algn="ctr"/>
              <a:t>(£7,328)</a:t>
            </a:fld>
            <a:endParaRPr lang="en-AU" sz="1400" b="0" i="0" u="none" strike="noStrike">
              <a:solidFill>
                <a:schemeClr val="accent6">
                  <a:lumMod val="50000"/>
                </a:schemeClr>
              </a:solidFill>
              <a:latin typeface="Aptos Narrow"/>
              <a:ea typeface="+mn-ea"/>
              <a:cs typeface="+mn-cs"/>
            </a:endParaRPr>
          </a:p>
        </xdr:txBody>
      </xdr:sp>
      <xdr:sp macro="" textlink="">
        <xdr:nvSpPr>
          <xdr:cNvPr id="31" name="Rectangle 30">
            <a:extLst>
              <a:ext uri="{FF2B5EF4-FFF2-40B4-BE49-F238E27FC236}">
                <a16:creationId xmlns:a16="http://schemas.microsoft.com/office/drawing/2014/main" id="{EBE6B74A-DDA3-CDEB-6FA1-79B1DD55322F}"/>
              </a:ext>
            </a:extLst>
          </xdr:cNvPr>
          <xdr:cNvSpPr/>
        </xdr:nvSpPr>
        <xdr:spPr>
          <a:xfrm>
            <a:off x="8291513" y="571501"/>
            <a:ext cx="895350" cy="3428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accent6">
                    <a:lumMod val="50000"/>
                  </a:schemeClr>
                </a:solidFill>
                <a:effectLst/>
                <a:latin typeface="+mn-lt"/>
                <a:ea typeface="+mn-ea"/>
                <a:cs typeface="+mn-cs"/>
              </a:rPr>
              <a:t>MEDICAL</a:t>
            </a:r>
            <a:endParaRPr lang="en-AU" sz="1050">
              <a:solidFill>
                <a:schemeClr val="accent6">
                  <a:lumMod val="50000"/>
                </a:schemeClr>
              </a:solidFill>
              <a:effectLst/>
            </a:endParaRPr>
          </a:p>
        </xdr:txBody>
      </xdr:sp>
    </xdr:grpSp>
    <xdr:clientData/>
  </xdr:twoCellAnchor>
  <xdr:twoCellAnchor editAs="absolute">
    <xdr:from>
      <xdr:col>9</xdr:col>
      <xdr:colOff>1199196</xdr:colOff>
      <xdr:row>0</xdr:row>
      <xdr:rowOff>30521</xdr:rowOff>
    </xdr:from>
    <xdr:to>
      <xdr:col>10</xdr:col>
      <xdr:colOff>856297</xdr:colOff>
      <xdr:row>1</xdr:row>
      <xdr:rowOff>47625</xdr:rowOff>
    </xdr:to>
    <xdr:grpSp>
      <xdr:nvGrpSpPr>
        <xdr:cNvPr id="39" name="Group 38">
          <a:extLst>
            <a:ext uri="{FF2B5EF4-FFF2-40B4-BE49-F238E27FC236}">
              <a16:creationId xmlns:a16="http://schemas.microsoft.com/office/drawing/2014/main" id="{A860DD8E-FC2B-5E6E-2E56-5A7D655EAB15}"/>
            </a:ext>
          </a:extLst>
        </xdr:cNvPr>
        <xdr:cNvGrpSpPr/>
      </xdr:nvGrpSpPr>
      <xdr:grpSpPr>
        <a:xfrm>
          <a:off x="9209721" y="30521"/>
          <a:ext cx="914401" cy="1017229"/>
          <a:chOff x="7348538" y="24171"/>
          <a:chExt cx="914401" cy="890229"/>
        </a:xfrm>
      </xdr:grpSpPr>
      <xdr:pic>
        <xdr:nvPicPr>
          <xdr:cNvPr id="22" name="Graphic 21" descr="Car outline">
            <a:extLst>
              <a:ext uri="{FF2B5EF4-FFF2-40B4-BE49-F238E27FC236}">
                <a16:creationId xmlns:a16="http://schemas.microsoft.com/office/drawing/2014/main" id="{20AC6562-4757-4CBE-9CD5-A9E4A4985CC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7625737" y="24171"/>
            <a:ext cx="400029" cy="400029"/>
          </a:xfrm>
          <a:prstGeom prst="rect">
            <a:avLst/>
          </a:prstGeom>
        </xdr:spPr>
      </xdr:pic>
      <xdr:sp macro="" textlink="$L$29">
        <xdr:nvSpPr>
          <xdr:cNvPr id="32" name="Rectangle 31">
            <a:extLst>
              <a:ext uri="{FF2B5EF4-FFF2-40B4-BE49-F238E27FC236}">
                <a16:creationId xmlns:a16="http://schemas.microsoft.com/office/drawing/2014/main" id="{3F22D2A5-C0DF-8B51-AE35-4CDDE9578E95}"/>
              </a:ext>
            </a:extLst>
          </xdr:cNvPr>
          <xdr:cNvSpPr/>
        </xdr:nvSpPr>
        <xdr:spPr>
          <a:xfrm>
            <a:off x="7348538" y="400051"/>
            <a:ext cx="914401" cy="228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AFAA4B00-22F4-4863-941A-B7333B197050}" type="TxLink">
              <a:rPr lang="en-US" sz="1400" b="0" i="0" u="none" strike="noStrike">
                <a:solidFill>
                  <a:schemeClr val="accent6">
                    <a:lumMod val="50000"/>
                  </a:schemeClr>
                </a:solidFill>
                <a:latin typeface="Aptos Narrow"/>
                <a:ea typeface="+mn-ea"/>
                <a:cs typeface="+mn-cs"/>
              </a:rPr>
              <a:pPr marL="0" indent="0" algn="ctr"/>
              <a:t>(£1,490)</a:t>
            </a:fld>
            <a:endParaRPr lang="en-AU" sz="1400" b="0" i="0" u="none" strike="noStrike">
              <a:solidFill>
                <a:schemeClr val="accent6">
                  <a:lumMod val="50000"/>
                </a:schemeClr>
              </a:solidFill>
              <a:latin typeface="Aptos Narrow"/>
              <a:ea typeface="+mn-ea"/>
              <a:cs typeface="+mn-cs"/>
            </a:endParaRPr>
          </a:p>
        </xdr:txBody>
      </xdr:sp>
      <xdr:sp macro="" textlink="">
        <xdr:nvSpPr>
          <xdr:cNvPr id="33" name="Rectangle 32">
            <a:extLst>
              <a:ext uri="{FF2B5EF4-FFF2-40B4-BE49-F238E27FC236}">
                <a16:creationId xmlns:a16="http://schemas.microsoft.com/office/drawing/2014/main" id="{B59DCD97-C295-D904-3455-D9ECFC379644}"/>
              </a:ext>
            </a:extLst>
          </xdr:cNvPr>
          <xdr:cNvSpPr/>
        </xdr:nvSpPr>
        <xdr:spPr>
          <a:xfrm>
            <a:off x="7358063" y="571501"/>
            <a:ext cx="895350" cy="3428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accent6">
                    <a:lumMod val="50000"/>
                  </a:schemeClr>
                </a:solidFill>
                <a:effectLst/>
                <a:latin typeface="+mn-lt"/>
                <a:ea typeface="+mn-ea"/>
                <a:cs typeface="+mn-cs"/>
              </a:rPr>
              <a:t>TRANSPORT</a:t>
            </a:r>
            <a:endParaRPr lang="en-AU" sz="1050">
              <a:solidFill>
                <a:schemeClr val="accent6">
                  <a:lumMod val="50000"/>
                </a:schemeClr>
              </a:solidFill>
              <a:effectLst/>
            </a:endParaRPr>
          </a:p>
        </xdr:txBody>
      </xdr:sp>
    </xdr:grpSp>
    <xdr:clientData/>
  </xdr:twoCellAnchor>
  <xdr:twoCellAnchor editAs="absolute">
    <xdr:from>
      <xdr:col>11</xdr:col>
      <xdr:colOff>160338</xdr:colOff>
      <xdr:row>0</xdr:row>
      <xdr:rowOff>49950</xdr:rowOff>
    </xdr:from>
    <xdr:to>
      <xdr:col>12</xdr:col>
      <xdr:colOff>449264</xdr:colOff>
      <xdr:row>1</xdr:row>
      <xdr:rowOff>47625</xdr:rowOff>
    </xdr:to>
    <xdr:grpSp>
      <xdr:nvGrpSpPr>
        <xdr:cNvPr id="41" name="Group 40">
          <a:extLst>
            <a:ext uri="{FF2B5EF4-FFF2-40B4-BE49-F238E27FC236}">
              <a16:creationId xmlns:a16="http://schemas.microsoft.com/office/drawing/2014/main" id="{283AC778-5C21-6F47-AFA2-DAFAE9143E10}"/>
            </a:ext>
          </a:extLst>
        </xdr:cNvPr>
        <xdr:cNvGrpSpPr/>
      </xdr:nvGrpSpPr>
      <xdr:grpSpPr>
        <a:xfrm>
          <a:off x="11009313" y="49950"/>
          <a:ext cx="927101" cy="997800"/>
          <a:chOff x="9244013" y="49950"/>
          <a:chExt cx="914401" cy="864450"/>
        </a:xfrm>
      </xdr:grpSpPr>
      <xdr:pic>
        <xdr:nvPicPr>
          <xdr:cNvPr id="20" name="Graphic 19" descr="Philanthropy outline">
            <a:extLst>
              <a:ext uri="{FF2B5EF4-FFF2-40B4-BE49-F238E27FC236}">
                <a16:creationId xmlns:a16="http://schemas.microsoft.com/office/drawing/2014/main" id="{06915757-B227-4088-9F57-02E814D90D9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9521213" y="49950"/>
            <a:ext cx="360000" cy="360000"/>
          </a:xfrm>
          <a:prstGeom prst="rect">
            <a:avLst/>
          </a:prstGeom>
        </xdr:spPr>
      </xdr:pic>
      <xdr:sp macro="" textlink="L31">
        <xdr:nvSpPr>
          <xdr:cNvPr id="34" name="Rectangle 33">
            <a:extLst>
              <a:ext uri="{FF2B5EF4-FFF2-40B4-BE49-F238E27FC236}">
                <a16:creationId xmlns:a16="http://schemas.microsoft.com/office/drawing/2014/main" id="{1CB6C8B0-A510-3828-FE8C-6D306FD9F633}"/>
              </a:ext>
            </a:extLst>
          </xdr:cNvPr>
          <xdr:cNvSpPr/>
        </xdr:nvSpPr>
        <xdr:spPr>
          <a:xfrm>
            <a:off x="9244013" y="400051"/>
            <a:ext cx="914401" cy="2286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CF3A7052-7036-4525-A88E-7F5F78E4F02B}" type="TxLink">
              <a:rPr lang="en-US" sz="1400" b="0" i="0" u="none" strike="noStrike">
                <a:solidFill>
                  <a:schemeClr val="accent6">
                    <a:lumMod val="50000"/>
                  </a:schemeClr>
                </a:solidFill>
                <a:latin typeface="Aptos Narrow"/>
                <a:ea typeface="+mn-ea"/>
                <a:cs typeface="+mn-cs"/>
              </a:rPr>
              <a:pPr marL="0" indent="0" algn="ctr"/>
              <a:t>(£550)</a:t>
            </a:fld>
            <a:endParaRPr lang="en-AU" sz="1400" b="0" i="0" u="none" strike="noStrike">
              <a:solidFill>
                <a:schemeClr val="accent6">
                  <a:lumMod val="50000"/>
                </a:schemeClr>
              </a:solidFill>
              <a:latin typeface="Aptos Narrow"/>
              <a:ea typeface="+mn-ea"/>
              <a:cs typeface="+mn-cs"/>
            </a:endParaRPr>
          </a:p>
        </xdr:txBody>
      </xdr:sp>
      <xdr:sp macro="" textlink="">
        <xdr:nvSpPr>
          <xdr:cNvPr id="35" name="Rectangle 34">
            <a:extLst>
              <a:ext uri="{FF2B5EF4-FFF2-40B4-BE49-F238E27FC236}">
                <a16:creationId xmlns:a16="http://schemas.microsoft.com/office/drawing/2014/main" id="{4740BFE7-A6DC-40C4-D0B1-C3BE3658AD06}"/>
              </a:ext>
            </a:extLst>
          </xdr:cNvPr>
          <xdr:cNvSpPr/>
        </xdr:nvSpPr>
        <xdr:spPr>
          <a:xfrm>
            <a:off x="9253538" y="571501"/>
            <a:ext cx="895350" cy="34289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accent6">
                    <a:lumMod val="50000"/>
                  </a:schemeClr>
                </a:solidFill>
                <a:effectLst/>
                <a:latin typeface="+mn-lt"/>
                <a:ea typeface="+mn-ea"/>
                <a:cs typeface="+mn-cs"/>
              </a:rPr>
              <a:t>CHARITY</a:t>
            </a:r>
            <a:endParaRPr lang="en-AU" sz="1050">
              <a:solidFill>
                <a:schemeClr val="accent6">
                  <a:lumMod val="50000"/>
                </a:schemeClr>
              </a:solidFill>
              <a:effectLst/>
            </a:endParaRPr>
          </a:p>
        </xdr:txBody>
      </xdr:sp>
    </xdr:grpSp>
    <xdr:clientData/>
  </xdr:twoCellAnchor>
  <xdr:twoCellAnchor editAs="absolute">
    <xdr:from>
      <xdr:col>0</xdr:col>
      <xdr:colOff>76200</xdr:colOff>
      <xdr:row>9</xdr:row>
      <xdr:rowOff>28574</xdr:rowOff>
    </xdr:from>
    <xdr:to>
      <xdr:col>4</xdr:col>
      <xdr:colOff>657225</xdr:colOff>
      <xdr:row>31</xdr:row>
      <xdr:rowOff>76199</xdr:rowOff>
    </xdr:to>
    <xdr:graphicFrame macro="">
      <xdr:nvGraphicFramePr>
        <xdr:cNvPr id="3" name="Chart 2">
          <a:extLst>
            <a:ext uri="{FF2B5EF4-FFF2-40B4-BE49-F238E27FC236}">
              <a16:creationId xmlns:a16="http://schemas.microsoft.com/office/drawing/2014/main" id="{A224320A-6A81-4A1E-BA30-7A4F844C72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4</xdr:col>
      <xdr:colOff>733424</xdr:colOff>
      <xdr:row>16</xdr:row>
      <xdr:rowOff>114300</xdr:rowOff>
    </xdr:from>
    <xdr:to>
      <xdr:col>9</xdr:col>
      <xdr:colOff>1131899</xdr:colOff>
      <xdr:row>31</xdr:row>
      <xdr:rowOff>47624</xdr:rowOff>
    </xdr:to>
    <xdr:graphicFrame macro="">
      <xdr:nvGraphicFramePr>
        <xdr:cNvPr id="7" name="Chart 6">
          <a:extLst>
            <a:ext uri="{FF2B5EF4-FFF2-40B4-BE49-F238E27FC236}">
              <a16:creationId xmlns:a16="http://schemas.microsoft.com/office/drawing/2014/main" id="{9A93BED9-43F1-4AD2-81B8-5504299B5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0</xdr:col>
      <xdr:colOff>104774</xdr:colOff>
      <xdr:row>1</xdr:row>
      <xdr:rowOff>104775</xdr:rowOff>
    </xdr:from>
    <xdr:to>
      <xdr:col>4</xdr:col>
      <xdr:colOff>667059</xdr:colOff>
      <xdr:row>8</xdr:row>
      <xdr:rowOff>133350</xdr:rowOff>
    </xdr:to>
    <mc:AlternateContent xmlns:mc="http://schemas.openxmlformats.org/markup-compatibility/2006" xmlns:tsle="http://schemas.microsoft.com/office/drawing/2012/timeslicer">
      <mc:Choice Requires="tsle">
        <xdr:graphicFrame macro="">
          <xdr:nvGraphicFramePr>
            <xdr:cNvPr id="9" name="Date 2">
              <a:extLst>
                <a:ext uri="{FF2B5EF4-FFF2-40B4-BE49-F238E27FC236}">
                  <a16:creationId xmlns:a16="http://schemas.microsoft.com/office/drawing/2014/main" id="{C37256B5-1E99-4F86-8AD3-7EF514BA7D1E}"/>
                </a:ext>
              </a:extLst>
            </xdr:cNvPr>
            <xdr:cNvGraphicFramePr/>
          </xdr:nvGraphicFramePr>
          <xdr:xfrm>
            <a:off x="0" y="0"/>
            <a:ext cx="0" cy="0"/>
          </xdr:xfrm>
          <a:graphic>
            <a:graphicData uri="http://schemas.microsoft.com/office/drawing/2012/timeslicer">
              <tsle:timeslicer name="Date 2"/>
            </a:graphicData>
          </a:graphic>
        </xdr:graphicFrame>
      </mc:Choice>
      <mc:Fallback xmlns="">
        <xdr:sp macro="" textlink="">
          <xdr:nvSpPr>
            <xdr:cNvPr id="0" name=""/>
            <xdr:cNvSpPr>
              <a:spLocks noTextEdit="1"/>
            </xdr:cNvSpPr>
          </xdr:nvSpPr>
          <xdr:spPr>
            <a:xfrm>
              <a:off x="104774" y="1104900"/>
              <a:ext cx="4010335" cy="1371600"/>
            </a:xfrm>
            <a:prstGeom prst="rect">
              <a:avLst/>
            </a:prstGeom>
            <a:solidFill>
              <a:prstClr val="white"/>
            </a:solidFill>
            <a:ln w="1">
              <a:solidFill>
                <a:prstClr val="green"/>
              </a:solidFill>
            </a:ln>
          </xdr:spPr>
          <xdr:txBody>
            <a:bodyPr vertOverflow="clip" horzOverflow="clip"/>
            <a:lstStyle/>
            <a:p>
              <a:r>
                <a:rPr lang="en-AU" sz="1100"/>
                <a:t>Timeline: Works in Excel 2013 or higher. Do not move or resize.</a:t>
              </a:r>
            </a:p>
          </xdr:txBody>
        </xdr:sp>
      </mc:Fallback>
    </mc:AlternateContent>
    <xdr:clientData/>
  </xdr:twoCellAnchor>
  <xdr:twoCellAnchor editAs="absolute">
    <xdr:from>
      <xdr:col>4</xdr:col>
      <xdr:colOff>733424</xdr:colOff>
      <xdr:row>1</xdr:row>
      <xdr:rowOff>104775</xdr:rowOff>
    </xdr:from>
    <xdr:to>
      <xdr:col>9</xdr:col>
      <xdr:colOff>1133474</xdr:colOff>
      <xdr:row>16</xdr:row>
      <xdr:rowOff>47625</xdr:rowOff>
    </xdr:to>
    <xdr:graphicFrame macro="">
      <xdr:nvGraphicFramePr>
        <xdr:cNvPr id="10" name="Chart 9">
          <a:extLst>
            <a:ext uri="{FF2B5EF4-FFF2-40B4-BE49-F238E27FC236}">
              <a16:creationId xmlns:a16="http://schemas.microsoft.com/office/drawing/2014/main" id="{7E45D115-3F2E-461C-8D7F-42E2136D9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85725</xdr:colOff>
      <xdr:row>0</xdr:row>
      <xdr:rowOff>742950</xdr:rowOff>
    </xdr:from>
    <xdr:to>
      <xdr:col>5</xdr:col>
      <xdr:colOff>657225</xdr:colOff>
      <xdr:row>0</xdr:row>
      <xdr:rowOff>981075</xdr:rowOff>
    </xdr:to>
    <xdr:sp macro="" textlink="'🧮 Analysis'!D2">
      <xdr:nvSpPr>
        <xdr:cNvPr id="12" name="Rectangle 11">
          <a:extLst>
            <a:ext uri="{FF2B5EF4-FFF2-40B4-BE49-F238E27FC236}">
              <a16:creationId xmlns:a16="http://schemas.microsoft.com/office/drawing/2014/main" id="{DA6A97E8-FCFD-47FD-B62D-2B7F77573624}"/>
            </a:ext>
          </a:extLst>
        </xdr:cNvPr>
        <xdr:cNvSpPr/>
      </xdr:nvSpPr>
      <xdr:spPr>
        <a:xfrm>
          <a:off x="3533775" y="742950"/>
          <a:ext cx="1304925" cy="238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DFE2CD3F-A7DE-4831-AEA7-DF5A2956BDEF}" type="TxLink">
            <a:rPr lang="en-US" sz="1100" b="0" i="0" u="none" strike="noStrike">
              <a:solidFill>
                <a:schemeClr val="accent6">
                  <a:lumMod val="50000"/>
                </a:schemeClr>
              </a:solidFill>
              <a:latin typeface="Aptos Narrow"/>
            </a:rPr>
            <a:pPr algn="ctr"/>
            <a:t>INCOME SURPLUS</a:t>
          </a:fld>
          <a:endParaRPr lang="en-US" sz="1050">
            <a:solidFill>
              <a:schemeClr val="accent6">
                <a:lumMod val="50000"/>
              </a:schemeClr>
            </a:solidFill>
          </a:endParaRPr>
        </a:p>
      </xdr:txBody>
    </xdr:sp>
    <xdr:clientData/>
  </xdr:twoCellAnchor>
  <xdr:twoCellAnchor>
    <xdr:from>
      <xdr:col>4</xdr:col>
      <xdr:colOff>299843</xdr:colOff>
      <xdr:row>0</xdr:row>
      <xdr:rowOff>476250</xdr:rowOff>
    </xdr:from>
    <xdr:to>
      <xdr:col>5</xdr:col>
      <xdr:colOff>443107</xdr:colOff>
      <xdr:row>0</xdr:row>
      <xdr:rowOff>684379</xdr:rowOff>
    </xdr:to>
    <xdr:sp macro="" textlink="'🧮 Analysis'!C2">
      <xdr:nvSpPr>
        <xdr:cNvPr id="14" name="Rectangle 13">
          <a:extLst>
            <a:ext uri="{FF2B5EF4-FFF2-40B4-BE49-F238E27FC236}">
              <a16:creationId xmlns:a16="http://schemas.microsoft.com/office/drawing/2014/main" id="{F0ECD04E-4089-EF8F-FDD3-F85C1F59DEC2}"/>
            </a:ext>
          </a:extLst>
        </xdr:cNvPr>
        <xdr:cNvSpPr/>
      </xdr:nvSpPr>
      <xdr:spPr>
        <a:xfrm>
          <a:off x="3747893" y="476250"/>
          <a:ext cx="876689" cy="2081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E8120A15-4660-40F5-B00E-5FBED6B3B079}" type="TxLink">
            <a:rPr lang="en-US" sz="1400" b="0" i="0" u="none" strike="noStrike">
              <a:solidFill>
                <a:schemeClr val="accent6">
                  <a:lumMod val="50000"/>
                </a:schemeClr>
              </a:solidFill>
              <a:latin typeface="Aptos Narrow"/>
              <a:ea typeface="+mn-ea"/>
              <a:cs typeface="+mn-cs"/>
            </a:rPr>
            <a:pPr marL="0" indent="0" algn="ctr"/>
            <a:t>£25,630 </a:t>
          </a:fld>
          <a:endParaRPr lang="en-AU" sz="1400" b="0" i="0" u="none" strike="noStrike">
            <a:solidFill>
              <a:schemeClr val="accent6">
                <a:lumMod val="50000"/>
              </a:schemeClr>
            </a:solidFill>
            <a:latin typeface="Aptos Narrow"/>
            <a:ea typeface="+mn-ea"/>
            <a:cs typeface="+mn-cs"/>
          </a:endParaRPr>
        </a:p>
      </xdr:txBody>
    </xdr:sp>
    <xdr:clientData/>
  </xdr:twoCellAnchor>
  <xdr:twoCellAnchor editAs="oneCell">
    <xdr:from>
      <xdr:col>5</xdr:col>
      <xdr:colOff>1025301</xdr:colOff>
      <xdr:row>0</xdr:row>
      <xdr:rowOff>104775</xdr:rowOff>
    </xdr:from>
    <xdr:to>
      <xdr:col>6</xdr:col>
      <xdr:colOff>350251</xdr:colOff>
      <xdr:row>0</xdr:row>
      <xdr:rowOff>464775</xdr:rowOff>
    </xdr:to>
    <xdr:pic>
      <xdr:nvPicPr>
        <xdr:cNvPr id="47" name="Graphic 46" descr="Bullseye outline">
          <a:extLst>
            <a:ext uri="{FF2B5EF4-FFF2-40B4-BE49-F238E27FC236}">
              <a16:creationId xmlns:a16="http://schemas.microsoft.com/office/drawing/2014/main" id="{1F34074A-8611-B255-11D0-E15DD8FF5318}"/>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 uri="{96DAC541-7B7A-43D3-8B79-37D633B846F1}">
              <asvg:svgBlip xmlns:asvg="http://schemas.microsoft.com/office/drawing/2016/SVG/main" r:embed="rId19"/>
            </a:ext>
          </a:extLst>
        </a:blip>
        <a:stretch>
          <a:fillRect/>
        </a:stretch>
      </xdr:blipFill>
      <xdr:spPr>
        <a:xfrm>
          <a:off x="5206776" y="104775"/>
          <a:ext cx="360000" cy="360000"/>
        </a:xfrm>
        <a:prstGeom prst="rect">
          <a:avLst/>
        </a:prstGeom>
      </xdr:spPr>
    </xdr:pic>
    <xdr:clientData/>
  </xdr:twoCellAnchor>
  <xdr:twoCellAnchor editAs="oneCell">
    <xdr:from>
      <xdr:col>4</xdr:col>
      <xdr:colOff>558187</xdr:colOff>
      <xdr:row>0</xdr:row>
      <xdr:rowOff>92850</xdr:rowOff>
    </xdr:from>
    <xdr:to>
      <xdr:col>5</xdr:col>
      <xdr:colOff>178412</xdr:colOff>
      <xdr:row>0</xdr:row>
      <xdr:rowOff>446500</xdr:rowOff>
    </xdr:to>
    <xdr:pic>
      <xdr:nvPicPr>
        <xdr:cNvPr id="49" name="Graphic 48" descr="Money outline">
          <a:extLst>
            <a:ext uri="{FF2B5EF4-FFF2-40B4-BE49-F238E27FC236}">
              <a16:creationId xmlns:a16="http://schemas.microsoft.com/office/drawing/2014/main" id="{CB9DADFB-F9B6-152A-8446-C32C7124056D}"/>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 uri="{96DAC541-7B7A-43D3-8B79-37D633B846F1}">
              <asvg:svgBlip xmlns:asvg="http://schemas.microsoft.com/office/drawing/2016/SVG/main" r:embed="rId21"/>
            </a:ext>
          </a:extLst>
        </a:blip>
        <a:stretch>
          <a:fillRect/>
        </a:stretch>
      </xdr:blipFill>
      <xdr:spPr>
        <a:xfrm>
          <a:off x="4006237" y="92850"/>
          <a:ext cx="360000" cy="360000"/>
        </a:xfrm>
        <a:prstGeom prst="rect">
          <a:avLst/>
        </a:prstGeom>
      </xdr:spPr>
    </xdr:pic>
    <xdr:clientData/>
  </xdr:twoCellAnchor>
  <xdr:twoCellAnchor>
    <xdr:from>
      <xdr:col>5</xdr:col>
      <xdr:colOff>629039</xdr:colOff>
      <xdr:row>0</xdr:row>
      <xdr:rowOff>742950</xdr:rowOff>
    </xdr:from>
    <xdr:to>
      <xdr:col>7</xdr:col>
      <xdr:colOff>19439</xdr:colOff>
      <xdr:row>0</xdr:row>
      <xdr:rowOff>981075</xdr:rowOff>
    </xdr:to>
    <xdr:sp macro="" textlink="'🧮 Analysis'!D3">
      <xdr:nvSpPr>
        <xdr:cNvPr id="51" name="Rectangle 50">
          <a:extLst>
            <a:ext uri="{FF2B5EF4-FFF2-40B4-BE49-F238E27FC236}">
              <a16:creationId xmlns:a16="http://schemas.microsoft.com/office/drawing/2014/main" id="{CCF400F7-0137-4673-DE89-7B09F0C741FA}"/>
            </a:ext>
          </a:extLst>
        </xdr:cNvPr>
        <xdr:cNvSpPr/>
      </xdr:nvSpPr>
      <xdr:spPr>
        <a:xfrm>
          <a:off x="4810514" y="742950"/>
          <a:ext cx="1152525" cy="2381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1D767349-E6B8-4F3C-BAE6-265B73666229}" type="TxLink">
            <a:rPr lang="en-US" sz="1100" b="0" i="0" u="none" strike="noStrike">
              <a:solidFill>
                <a:schemeClr val="accent6">
                  <a:lumMod val="50000"/>
                </a:schemeClr>
              </a:solidFill>
              <a:latin typeface="Aptos Narrow"/>
              <a:ea typeface="+mn-ea"/>
              <a:cs typeface="+mn-cs"/>
            </a:rPr>
            <a:pPr marL="0" indent="0" algn="ctr"/>
            <a:t>ABOVE BUDGET</a:t>
          </a:fld>
          <a:endParaRPr lang="en-US" sz="1100" b="0" i="0" u="none" strike="noStrike">
            <a:solidFill>
              <a:schemeClr val="accent6">
                <a:lumMod val="50000"/>
              </a:schemeClr>
            </a:solidFill>
            <a:latin typeface="Aptos Narrow"/>
            <a:ea typeface="+mn-ea"/>
            <a:cs typeface="+mn-cs"/>
          </a:endParaRPr>
        </a:p>
      </xdr:txBody>
    </xdr:sp>
    <xdr:clientData/>
  </xdr:twoCellAnchor>
  <xdr:twoCellAnchor>
    <xdr:from>
      <xdr:col>5</xdr:col>
      <xdr:colOff>685411</xdr:colOff>
      <xdr:row>0</xdr:row>
      <xdr:rowOff>476250</xdr:rowOff>
    </xdr:from>
    <xdr:to>
      <xdr:col>6</xdr:col>
      <xdr:colOff>696491</xdr:colOff>
      <xdr:row>0</xdr:row>
      <xdr:rowOff>684379</xdr:rowOff>
    </xdr:to>
    <xdr:sp macro="" textlink="'🧮 Analysis'!C3">
      <xdr:nvSpPr>
        <xdr:cNvPr id="52" name="Rectangle 51">
          <a:extLst>
            <a:ext uri="{FF2B5EF4-FFF2-40B4-BE49-F238E27FC236}">
              <a16:creationId xmlns:a16="http://schemas.microsoft.com/office/drawing/2014/main" id="{3D87CD7A-496A-0203-2DDA-9D82E37A1831}"/>
            </a:ext>
          </a:extLst>
        </xdr:cNvPr>
        <xdr:cNvSpPr/>
      </xdr:nvSpPr>
      <xdr:spPr>
        <a:xfrm>
          <a:off x="4866886" y="476250"/>
          <a:ext cx="1039780" cy="20812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6B5CF936-BF96-4246-83F7-6446F6A7A757}" type="TxLink">
            <a:rPr lang="en-US" sz="1400" b="0" i="0" u="none" strike="noStrike">
              <a:solidFill>
                <a:schemeClr val="accent6">
                  <a:lumMod val="50000"/>
                </a:schemeClr>
              </a:solidFill>
              <a:latin typeface="Aptos Narrow"/>
              <a:ea typeface="+mn-ea"/>
              <a:cs typeface="+mn-cs"/>
            </a:rPr>
            <a:pPr marL="0" indent="0" algn="ctr"/>
            <a:t>£38,550 </a:t>
          </a:fld>
          <a:endParaRPr lang="en-AU" sz="1400" b="0" i="0" u="none" strike="noStrike">
            <a:solidFill>
              <a:schemeClr val="accent6">
                <a:lumMod val="50000"/>
              </a:schemeClr>
            </a:solidFill>
            <a:latin typeface="Aptos Narrow"/>
            <a:ea typeface="+mn-ea"/>
            <a:cs typeface="+mn-cs"/>
          </a:endParaRPr>
        </a:p>
      </xdr:txBody>
    </xdr:sp>
    <xdr:clientData/>
  </xdr:twoCellAnchor>
  <xdr:twoCellAnchor>
    <xdr:from>
      <xdr:col>6</xdr:col>
      <xdr:colOff>723900</xdr:colOff>
      <xdr:row>0</xdr:row>
      <xdr:rowOff>95250</xdr:rowOff>
    </xdr:from>
    <xdr:to>
      <xdr:col>6</xdr:col>
      <xdr:colOff>723900</xdr:colOff>
      <xdr:row>0</xdr:row>
      <xdr:rowOff>923925</xdr:rowOff>
    </xdr:to>
    <xdr:cxnSp macro="">
      <xdr:nvCxnSpPr>
        <xdr:cNvPr id="54" name="Straight Connector 53">
          <a:extLst>
            <a:ext uri="{FF2B5EF4-FFF2-40B4-BE49-F238E27FC236}">
              <a16:creationId xmlns:a16="http://schemas.microsoft.com/office/drawing/2014/main" id="{7C124978-7973-06E0-1E63-114C7D43A58B}"/>
            </a:ext>
          </a:extLst>
        </xdr:cNvPr>
        <xdr:cNvCxnSpPr/>
      </xdr:nvCxnSpPr>
      <xdr:spPr>
        <a:xfrm>
          <a:off x="5934075" y="95250"/>
          <a:ext cx="0" cy="828675"/>
        </a:xfrm>
        <a:prstGeom prst="line">
          <a:avLst/>
        </a:prstGeom>
        <a:ln>
          <a:solidFill>
            <a:schemeClr val="accent6">
              <a:lumMod val="75000"/>
            </a:schemeClr>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9</xdr:col>
      <xdr:colOff>1257299</xdr:colOff>
      <xdr:row>1</xdr:row>
      <xdr:rowOff>85725</xdr:rowOff>
    </xdr:from>
    <xdr:to>
      <xdr:col>14</xdr:col>
      <xdr:colOff>28574</xdr:colOff>
      <xdr:row>14</xdr:row>
      <xdr:rowOff>76200</xdr:rowOff>
    </xdr:to>
    <xdr:graphicFrame macro="">
      <xdr:nvGraphicFramePr>
        <xdr:cNvPr id="55" name="Chart 54">
          <a:extLst>
            <a:ext uri="{FF2B5EF4-FFF2-40B4-BE49-F238E27FC236}">
              <a16:creationId xmlns:a16="http://schemas.microsoft.com/office/drawing/2014/main" id="{14FC5B14-DC03-4C5F-AB41-7BD813078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absolute">
    <xdr:from>
      <xdr:col>18</xdr:col>
      <xdr:colOff>511176</xdr:colOff>
      <xdr:row>4</xdr:row>
      <xdr:rowOff>34925</xdr:rowOff>
    </xdr:from>
    <xdr:to>
      <xdr:col>20</xdr:col>
      <xdr:colOff>142875</xdr:colOff>
      <xdr:row>7</xdr:row>
      <xdr:rowOff>82550</xdr:rowOff>
    </xdr:to>
    <xdr:sp macro="" textlink="">
      <xdr:nvSpPr>
        <xdr:cNvPr id="56" name="Arrow: Right 55">
          <a:hlinkClick xmlns:r="http://schemas.openxmlformats.org/officeDocument/2006/relationships" r:id="rId23"/>
          <a:extLst>
            <a:ext uri="{FF2B5EF4-FFF2-40B4-BE49-F238E27FC236}">
              <a16:creationId xmlns:a16="http://schemas.microsoft.com/office/drawing/2014/main" id="{D0073C34-6CB6-4ACC-8744-DF8906D68589}"/>
            </a:ext>
          </a:extLst>
        </xdr:cNvPr>
        <xdr:cNvSpPr/>
      </xdr:nvSpPr>
      <xdr:spPr>
        <a:xfrm>
          <a:off x="16294101" y="1616075"/>
          <a:ext cx="1165224" cy="619125"/>
        </a:xfrm>
        <a:prstGeom prst="rightArrow">
          <a:avLst>
            <a:gd name="adj1" fmla="val 50000"/>
            <a:gd name="adj2" fmla="val 57576"/>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ctr"/>
        <a:lstStyle/>
        <a:p>
          <a:pPr algn="l"/>
          <a:r>
            <a:rPr lang="en-AU" sz="1100"/>
            <a:t>Click Next Step</a:t>
          </a:r>
        </a:p>
      </xdr:txBody>
    </xdr:sp>
    <xdr:clientData/>
  </xdr:twoCellAnchor>
  <xdr:twoCellAnchor>
    <xdr:from>
      <xdr:col>14</xdr:col>
      <xdr:colOff>104776</xdr:colOff>
      <xdr:row>1</xdr:row>
      <xdr:rowOff>85725</xdr:rowOff>
    </xdr:from>
    <xdr:to>
      <xdr:col>18</xdr:col>
      <xdr:colOff>457201</xdr:colOff>
      <xdr:row>14</xdr:row>
      <xdr:rowOff>123825</xdr:rowOff>
    </xdr:to>
    <xdr:graphicFrame macro="">
      <xdr:nvGraphicFramePr>
        <xdr:cNvPr id="6" name="Chart 5">
          <a:extLst>
            <a:ext uri="{FF2B5EF4-FFF2-40B4-BE49-F238E27FC236}">
              <a16:creationId xmlns:a16="http://schemas.microsoft.com/office/drawing/2014/main" id="{BADD9EA8-1EC7-42E2-A860-F0BDA4B567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14</xdr:col>
      <xdr:colOff>95250</xdr:colOff>
      <xdr:row>15</xdr:row>
      <xdr:rowOff>171450</xdr:rowOff>
    </xdr:from>
    <xdr:to>
      <xdr:col>18</xdr:col>
      <xdr:colOff>447675</xdr:colOff>
      <xdr:row>28</xdr:row>
      <xdr:rowOff>7938</xdr:rowOff>
    </xdr:to>
    <xdr:graphicFrame macro="">
      <xdr:nvGraphicFramePr>
        <xdr:cNvPr id="13" name="Chart 12">
          <a:extLst>
            <a:ext uri="{FF2B5EF4-FFF2-40B4-BE49-F238E27FC236}">
              <a16:creationId xmlns:a16="http://schemas.microsoft.com/office/drawing/2014/main" id="{C405D2CC-8C54-4E88-A316-B3C0D6E1B3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238124</xdr:colOff>
      <xdr:row>7</xdr:row>
      <xdr:rowOff>142875</xdr:rowOff>
    </xdr:from>
    <xdr:to>
      <xdr:col>10</xdr:col>
      <xdr:colOff>95250</xdr:colOff>
      <xdr:row>22</xdr:row>
      <xdr:rowOff>28575</xdr:rowOff>
    </xdr:to>
    <xdr:graphicFrame macro="">
      <xdr:nvGraphicFramePr>
        <xdr:cNvPr id="4" name="Chart 3">
          <a:extLst>
            <a:ext uri="{FF2B5EF4-FFF2-40B4-BE49-F238E27FC236}">
              <a16:creationId xmlns:a16="http://schemas.microsoft.com/office/drawing/2014/main" id="{653CC915-CFB3-85B2-96D4-FDB39A1CE4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6</xdr:col>
      <xdr:colOff>371475</xdr:colOff>
      <xdr:row>1</xdr:row>
      <xdr:rowOff>123825</xdr:rowOff>
    </xdr:from>
    <xdr:to>
      <xdr:col>8</xdr:col>
      <xdr:colOff>209551</xdr:colOff>
      <xdr:row>7</xdr:row>
      <xdr:rowOff>19050</xdr:rowOff>
    </xdr:to>
    <mc:AlternateContent xmlns:mc="http://schemas.openxmlformats.org/markup-compatibility/2006" xmlns:a14="http://schemas.microsoft.com/office/drawing/2010/main">
      <mc:Choice Requires="a14">
        <xdr:graphicFrame macro="">
          <xdr:nvGraphicFramePr>
            <xdr:cNvPr id="5" name="Account">
              <a:extLst>
                <a:ext uri="{FF2B5EF4-FFF2-40B4-BE49-F238E27FC236}">
                  <a16:creationId xmlns:a16="http://schemas.microsoft.com/office/drawing/2014/main" id="{2D4B0002-1645-9BB9-909E-52154319600C}"/>
                </a:ext>
              </a:extLst>
            </xdr:cNvPr>
            <xdr:cNvGraphicFramePr/>
          </xdr:nvGraphicFramePr>
          <xdr:xfrm>
            <a:off x="0" y="0"/>
            <a:ext cx="0" cy="0"/>
          </xdr:xfrm>
          <a:graphic>
            <a:graphicData uri="http://schemas.microsoft.com/office/drawing/2010/slicer">
              <sle:slicer xmlns:sle="http://schemas.microsoft.com/office/drawing/2010/slicer" name="Account"/>
            </a:graphicData>
          </a:graphic>
        </xdr:graphicFrame>
      </mc:Choice>
      <mc:Fallback xmlns="">
        <xdr:sp macro="" textlink="">
          <xdr:nvSpPr>
            <xdr:cNvPr id="0" name=""/>
            <xdr:cNvSpPr>
              <a:spLocks noTextEdit="1"/>
            </xdr:cNvSpPr>
          </xdr:nvSpPr>
          <xdr:spPr>
            <a:xfrm>
              <a:off x="4295775" y="1047750"/>
              <a:ext cx="1476376" cy="1181100"/>
            </a:xfrm>
            <a:prstGeom prst="rect">
              <a:avLst/>
            </a:prstGeom>
            <a:solidFill>
              <a:prstClr val="white"/>
            </a:solidFill>
            <a:ln w="1">
              <a:solidFill>
                <a:prstClr val="green"/>
              </a:solidFill>
            </a:ln>
          </xdr:spPr>
          <xdr:txBody>
            <a:bodyPr vertOverflow="clip" horzOverflow="clip"/>
            <a:lstStyle/>
            <a:p>
              <a:r>
                <a:rPr lang="en-AU"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absolute">
    <xdr:from>
      <xdr:col>8</xdr:col>
      <xdr:colOff>304800</xdr:colOff>
      <xdr:row>1</xdr:row>
      <xdr:rowOff>123825</xdr:rowOff>
    </xdr:from>
    <xdr:to>
      <xdr:col>13</xdr:col>
      <xdr:colOff>930275</xdr:colOff>
      <xdr:row>7</xdr:row>
      <xdr:rowOff>9525</xdr:rowOff>
    </xdr:to>
    <xdr:graphicFrame macro="">
      <xdr:nvGraphicFramePr>
        <xdr:cNvPr id="7" name="Chart 6">
          <a:extLst>
            <a:ext uri="{FF2B5EF4-FFF2-40B4-BE49-F238E27FC236}">
              <a16:creationId xmlns:a16="http://schemas.microsoft.com/office/drawing/2014/main" id="{9CE86FA8-DBFD-71F8-6049-358944784DAA}"/>
            </a:ext>
            <a:ext uri="{147F2762-F138-4A5C-976F-8EAC2B608ADB}">
              <a16:predDERef xmlns:a16="http://schemas.microsoft.com/office/drawing/2014/main" pred="{2D4B0002-1645-9BB9-909E-5215431960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276225</xdr:colOff>
      <xdr:row>0</xdr:row>
      <xdr:rowOff>0</xdr:rowOff>
    </xdr:from>
    <xdr:to>
      <xdr:col>2</xdr:col>
      <xdr:colOff>501650</xdr:colOff>
      <xdr:row>0</xdr:row>
      <xdr:rowOff>914400</xdr:rowOff>
    </xdr:to>
    <xdr:pic>
      <xdr:nvPicPr>
        <xdr:cNvPr id="9" name="Graphic 8" descr="Piggy Bank outline">
          <a:extLst>
            <a:ext uri="{FF2B5EF4-FFF2-40B4-BE49-F238E27FC236}">
              <a16:creationId xmlns:a16="http://schemas.microsoft.com/office/drawing/2014/main" id="{79118553-8E93-BF32-A6D7-266AD2C9B11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23875" y="0"/>
          <a:ext cx="914400" cy="914400"/>
        </a:xfrm>
        <a:prstGeom prst="rect">
          <a:avLst/>
        </a:prstGeom>
      </xdr:spPr>
    </xdr:pic>
    <xdr:clientData/>
  </xdr:twoCellAnchor>
  <xdr:twoCellAnchor editAs="absolute">
    <xdr:from>
      <xdr:col>1</xdr:col>
      <xdr:colOff>19050</xdr:colOff>
      <xdr:row>1</xdr:row>
      <xdr:rowOff>123825</xdr:rowOff>
    </xdr:from>
    <xdr:to>
      <xdr:col>6</xdr:col>
      <xdr:colOff>285750</xdr:colOff>
      <xdr:row>7</xdr:row>
      <xdr:rowOff>19050</xdr:rowOff>
    </xdr:to>
    <mc:AlternateContent xmlns:mc="http://schemas.openxmlformats.org/markup-compatibility/2006" xmlns:tsle="http://schemas.microsoft.com/office/drawing/2012/timeslicer">
      <mc:Choice Requires="tsle">
        <xdr:graphicFrame macro="">
          <xdr:nvGraphicFramePr>
            <xdr:cNvPr id="13" name="Date">
              <a:extLst>
                <a:ext uri="{FF2B5EF4-FFF2-40B4-BE49-F238E27FC236}">
                  <a16:creationId xmlns:a16="http://schemas.microsoft.com/office/drawing/2014/main" id="{B455D154-8F62-F632-F776-58DFA3E0272D}"/>
                </a:ext>
              </a:extLst>
            </xdr:cNvPr>
            <xdr:cNvGraphicFramePr/>
          </xdr:nvGraphicFramePr>
          <xdr:xfrm>
            <a:off x="0" y="0"/>
            <a:ext cx="0" cy="0"/>
          </xdr:xfrm>
          <a:graphic>
            <a:graphicData uri="http://schemas.microsoft.com/office/drawing/2012/timeslicer">
              <tsle:timeslicer name="Date"/>
            </a:graphicData>
          </a:graphic>
        </xdr:graphicFrame>
      </mc:Choice>
      <mc:Fallback xmlns="">
        <xdr:sp macro="" textlink="">
          <xdr:nvSpPr>
            <xdr:cNvPr id="0" name=""/>
            <xdr:cNvSpPr>
              <a:spLocks noTextEdit="1"/>
            </xdr:cNvSpPr>
          </xdr:nvSpPr>
          <xdr:spPr>
            <a:xfrm>
              <a:off x="266700" y="1047750"/>
              <a:ext cx="3943350" cy="1181100"/>
            </a:xfrm>
            <a:prstGeom prst="rect">
              <a:avLst/>
            </a:prstGeom>
            <a:solidFill>
              <a:prstClr val="white"/>
            </a:solidFill>
            <a:ln w="1">
              <a:solidFill>
                <a:prstClr val="green"/>
              </a:solidFill>
            </a:ln>
          </xdr:spPr>
          <xdr:txBody>
            <a:bodyPr vertOverflow="clip" horzOverflow="clip"/>
            <a:lstStyle/>
            <a:p>
              <a:r>
                <a:rPr lang="en-AU" sz="1100"/>
                <a:t>Timeline: Works in Excel 2013 or higher. Do not move or resize.</a:t>
              </a:r>
            </a:p>
          </xdr:txBody>
        </xdr:sp>
      </mc:Fallback>
    </mc:AlternateContent>
    <xdr:clientData/>
  </xdr:twoCellAnchor>
  <xdr:twoCellAnchor editAs="absolute">
    <xdr:from>
      <xdr:col>14</xdr:col>
      <xdr:colOff>85725</xdr:colOff>
      <xdr:row>2</xdr:row>
      <xdr:rowOff>28575</xdr:rowOff>
    </xdr:from>
    <xdr:to>
      <xdr:col>15</xdr:col>
      <xdr:colOff>228600</xdr:colOff>
      <xdr:row>6</xdr:row>
      <xdr:rowOff>0</xdr:rowOff>
    </xdr:to>
    <xdr:grpSp>
      <xdr:nvGrpSpPr>
        <xdr:cNvPr id="18" name="Group 17">
          <a:extLst>
            <a:ext uri="{FF2B5EF4-FFF2-40B4-BE49-F238E27FC236}">
              <a16:creationId xmlns:a16="http://schemas.microsoft.com/office/drawing/2014/main" id="{A29C9786-4E0F-FC9F-AC42-F77067AAC4D9}"/>
            </a:ext>
          </a:extLst>
        </xdr:cNvPr>
        <xdr:cNvGrpSpPr/>
      </xdr:nvGrpSpPr>
      <xdr:grpSpPr>
        <a:xfrm>
          <a:off x="9305925" y="1285875"/>
          <a:ext cx="1028700" cy="733425"/>
          <a:chOff x="295275" y="1057275"/>
          <a:chExt cx="1028700" cy="733425"/>
        </a:xfrm>
      </xdr:grpSpPr>
      <xdr:sp macro="" textlink="">
        <xdr:nvSpPr>
          <xdr:cNvPr id="14" name="Rectangle 13">
            <a:extLst>
              <a:ext uri="{FF2B5EF4-FFF2-40B4-BE49-F238E27FC236}">
                <a16:creationId xmlns:a16="http://schemas.microsoft.com/office/drawing/2014/main" id="{20375236-F370-7496-54AA-CD7A2A886B54}"/>
              </a:ext>
            </a:extLst>
          </xdr:cNvPr>
          <xdr:cNvSpPr/>
        </xdr:nvSpPr>
        <xdr:spPr>
          <a:xfrm>
            <a:off x="295275" y="1057275"/>
            <a:ext cx="238125" cy="228600"/>
          </a:xfrm>
          <a:prstGeom prst="rect">
            <a:avLst/>
          </a:prstGeom>
          <a:solidFill>
            <a:schemeClr val="accent4">
              <a:lumMod val="40000"/>
              <a:lumOff val="60000"/>
            </a:schemeClr>
          </a:solidFill>
          <a:ln w="22225">
            <a:solidFill>
              <a:schemeClr val="accent4">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15" name="Rectangle 14">
            <a:extLst>
              <a:ext uri="{FF2B5EF4-FFF2-40B4-BE49-F238E27FC236}">
                <a16:creationId xmlns:a16="http://schemas.microsoft.com/office/drawing/2014/main" id="{9C380FF0-813F-6594-0BCF-EE08E6F8C404}"/>
              </a:ext>
            </a:extLst>
          </xdr:cNvPr>
          <xdr:cNvSpPr/>
        </xdr:nvSpPr>
        <xdr:spPr>
          <a:xfrm>
            <a:off x="295275" y="1552575"/>
            <a:ext cx="238125" cy="228600"/>
          </a:xfrm>
          <a:prstGeom prst="rect">
            <a:avLst/>
          </a:prstGeom>
          <a:noFill/>
          <a:ln w="25400">
            <a:solidFill>
              <a:schemeClr val="accent3"/>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16" name="TextBox 15">
            <a:extLst>
              <a:ext uri="{FF2B5EF4-FFF2-40B4-BE49-F238E27FC236}">
                <a16:creationId xmlns:a16="http://schemas.microsoft.com/office/drawing/2014/main" id="{7C3A51E9-8041-2C2C-2365-3294BD495580}"/>
              </a:ext>
            </a:extLst>
          </xdr:cNvPr>
          <xdr:cNvSpPr txBox="1"/>
        </xdr:nvSpPr>
        <xdr:spPr>
          <a:xfrm>
            <a:off x="561975" y="1057275"/>
            <a:ext cx="7620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Saved</a:t>
            </a:r>
          </a:p>
        </xdr:txBody>
      </xdr:sp>
      <xdr:sp macro="" textlink="">
        <xdr:nvSpPr>
          <xdr:cNvPr id="17" name="TextBox 16">
            <a:extLst>
              <a:ext uri="{FF2B5EF4-FFF2-40B4-BE49-F238E27FC236}">
                <a16:creationId xmlns:a16="http://schemas.microsoft.com/office/drawing/2014/main" id="{8B632689-29A4-36F2-6FC4-EF9972794C9C}"/>
              </a:ext>
            </a:extLst>
          </xdr:cNvPr>
          <xdr:cNvSpPr txBox="1"/>
        </xdr:nvSpPr>
        <xdr:spPr>
          <a:xfrm>
            <a:off x="561975" y="1552575"/>
            <a:ext cx="7620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Goal</a:t>
            </a:r>
          </a:p>
        </xdr:txBody>
      </xdr:sp>
    </xdr:grpSp>
    <xdr:clientData/>
  </xdr:twoCellAnchor>
  <xdr:absoluteAnchor>
    <xdr:pos x="10629900" y="1809750"/>
    <xdr:ext cx="1162050" cy="552450"/>
    <xdr:sp macro="" textlink="">
      <xdr:nvSpPr>
        <xdr:cNvPr id="2" name="Arrow: Right 1">
          <a:hlinkClick xmlns:r="http://schemas.openxmlformats.org/officeDocument/2006/relationships" r:id="rId5"/>
          <a:extLst>
            <a:ext uri="{FF2B5EF4-FFF2-40B4-BE49-F238E27FC236}">
              <a16:creationId xmlns:a16="http://schemas.microsoft.com/office/drawing/2014/main" id="{C8155C46-B0AD-4239-8B0B-24114EF3BD89}"/>
            </a:ext>
          </a:extLst>
        </xdr:cNvPr>
        <xdr:cNvSpPr/>
      </xdr:nvSpPr>
      <xdr:spPr>
        <a:xfrm>
          <a:off x="10629900" y="1809750"/>
          <a:ext cx="1162050" cy="552450"/>
        </a:xfrm>
        <a:prstGeom prst="rightArrow">
          <a:avLst>
            <a:gd name="adj1" fmla="val 50000"/>
            <a:gd name="adj2" fmla="val 57576"/>
          </a:avLst>
        </a:prstGeom>
        <a:solidFill>
          <a:schemeClr val="accent4">
            <a:lumMod val="60000"/>
            <a:lumOff val="40000"/>
          </a:schemeClr>
        </a:solidFill>
      </xdr:spPr>
      <xdr:style>
        <a:lnRef idx="3">
          <a:schemeClr val="lt1"/>
        </a:lnRef>
        <a:fillRef idx="1">
          <a:schemeClr val="accent5"/>
        </a:fillRef>
        <a:effectRef idx="1">
          <a:schemeClr val="accent5"/>
        </a:effectRef>
        <a:fontRef idx="minor">
          <a:schemeClr val="lt1"/>
        </a:fontRef>
      </xdr:style>
      <xdr:txBody>
        <a:bodyPr vertOverflow="clip" horzOverflow="clip" rtlCol="0" anchor="ctr"/>
        <a:lstStyle/>
        <a:p>
          <a:pPr algn="l"/>
          <a:r>
            <a:rPr lang="en-AU" sz="1100"/>
            <a:t>Click Next Step</a:t>
          </a:r>
        </a:p>
      </xdr:txBody>
    </xdr:sp>
    <xdr:clientData/>
  </xdr:absoluteAnchor>
  <xdr:twoCellAnchor>
    <xdr:from>
      <xdr:col>10</xdr:col>
      <xdr:colOff>152400</xdr:colOff>
      <xdr:row>7</xdr:row>
      <xdr:rowOff>142875</xdr:rowOff>
    </xdr:from>
    <xdr:to>
      <xdr:col>15</xdr:col>
      <xdr:colOff>0</xdr:colOff>
      <xdr:row>22</xdr:row>
      <xdr:rowOff>28575</xdr:rowOff>
    </xdr:to>
    <xdr:graphicFrame macro="">
      <xdr:nvGraphicFramePr>
        <xdr:cNvPr id="3" name="Chart 2">
          <a:extLst>
            <a:ext uri="{FF2B5EF4-FFF2-40B4-BE49-F238E27FC236}">
              <a16:creationId xmlns:a16="http://schemas.microsoft.com/office/drawing/2014/main" id="{063FC201-E304-7883-433B-2A08F39380D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om Lawrence" refreshedDate="46170.664054976849" createdVersion="8" refreshedVersion="8" minRefreshableVersion="3" recordCount="36" xr:uid="{4342F3AF-EE80-46D7-9BF7-50A682E7E5A1}">
  <cacheSource type="worksheet">
    <worksheetSource name="TblSavings"/>
  </cacheSource>
  <cacheFields count="7">
    <cacheField name="Date" numFmtId="14">
      <sharedItems containsSemiMixedTypes="0" containsNonDate="0" containsDate="1" containsString="0" minDate="2023-12-01T00:00:00" maxDate="2026-12-02T00:00:00" count="37">
        <d v="2026-01-01T00:00:00"/>
        <d v="2026-02-01T00:00:00"/>
        <d v="2026-03-01T00:00:00"/>
        <d v="2026-04-01T00:00:00"/>
        <d v="2026-05-01T00:00:00"/>
        <d v="2026-06-01T00:00:00"/>
        <d v="2026-07-01T00:00:00"/>
        <d v="2026-08-01T00:00:00"/>
        <d v="2026-09-01T00:00:00"/>
        <d v="2026-10-01T00:00:00"/>
        <d v="2026-11-01T00:00:00"/>
        <d v="2026-12-01T00:00:00"/>
        <d v="2024-12-01T00:00:00" u="1"/>
        <d v="2025-01-01T00:00:00" u="1"/>
        <d v="2025-02-01T00:00:00" u="1"/>
        <d v="2025-03-01T00:00:00" u="1"/>
        <d v="2025-04-01T00:00:00" u="1"/>
        <d v="2025-05-01T00:00:00" u="1"/>
        <d v="2025-06-01T00:00:00" u="1"/>
        <d v="2025-07-01T00:00:00" u="1"/>
        <d v="2025-08-01T00:00:00" u="1"/>
        <d v="2025-09-01T00:00:00" u="1"/>
        <d v="2025-10-01T00:00:00" u="1"/>
        <d v="2025-11-01T00:00:00" u="1"/>
        <d v="2025-12-01T00:00:00" u="1"/>
        <d v="2023-12-01T00:00:00" u="1"/>
        <d v="2024-01-01T00:00:00" u="1"/>
        <d v="2024-02-01T00:00:00" u="1"/>
        <d v="2024-03-01T00:00:00" u="1"/>
        <d v="2024-04-01T00:00:00" u="1"/>
        <d v="2024-05-01T00:00:00" u="1"/>
        <d v="2024-06-01T00:00:00" u="1"/>
        <d v="2024-07-01T00:00:00" u="1"/>
        <d v="2024-08-01T00:00:00" u="1"/>
        <d v="2024-09-01T00:00:00" u="1"/>
        <d v="2024-10-01T00:00:00" u="1"/>
        <d v="2024-11-01T00:00:00" u="1"/>
      </sharedItems>
      <fieldGroup par="6"/>
    </cacheField>
    <cacheField name="Account" numFmtId="0">
      <sharedItems containsBlank="1" count="6">
        <s v="Savings Account"/>
        <s v="SIPP Contribution"/>
        <s v="Holiday Fund"/>
        <s v="Acme Super Saver" u="1"/>
        <s v="Retirement Fund" u="1"/>
        <m u="1"/>
      </sharedItems>
    </cacheField>
    <cacheField name="Saved" numFmtId="3">
      <sharedItems containsSemiMixedTypes="0" containsString="0" containsNumber="1" containsInteger="1" minValue="-200" maxValue="650"/>
    </cacheField>
    <cacheField name="Goal" numFmtId="0">
      <sharedItems containsSemiMixedTypes="0" containsString="0" containsNumber="1" containsInteger="1" minValue="200" maxValue="650"/>
    </cacheField>
    <cacheField name="Variance" numFmtId="0" formula="Goal-#NAME?" databaseField="0"/>
    <cacheField name="Months (Date)" numFmtId="0" databaseField="0">
      <fieldGroup base="0">
        <rangePr groupBy="months" startDate="2026-01-01T00:00:00" endDate="2026-12-02T00:00:00"/>
        <groupItems count="14">
          <s v="&lt;01/01/2026"/>
          <s v="Jan"/>
          <s v="Feb"/>
          <s v="Mar"/>
          <s v="Apr"/>
          <s v="May"/>
          <s v="Jun"/>
          <s v="Jul"/>
          <s v="Aug"/>
          <s v="Sep"/>
          <s v="Oct"/>
          <s v="Nov"/>
          <s v="Dec"/>
          <s v="&gt;02/12/2026"/>
        </groupItems>
      </fieldGroup>
    </cacheField>
    <cacheField name="Years (Date)" numFmtId="0" databaseField="0">
      <fieldGroup base="0">
        <rangePr groupBy="years" startDate="2026-01-01T00:00:00" endDate="2026-12-02T00:00:00"/>
        <groupItems count="3">
          <s v="&lt;01/01/2026"/>
          <s v="2026"/>
          <s v="&gt;02/12/2026"/>
        </groupItems>
      </fieldGroup>
    </cacheField>
  </cacheFields>
  <extLst>
    <ext xmlns:x14="http://schemas.microsoft.com/office/spreadsheetml/2009/9/main" uri="{725AE2AE-9491-48be-B2B4-4EB974FC3084}">
      <x14:pivotCacheDefinition pivotCacheId="2062892"/>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om Lawrence" refreshedDate="46170.664056712965" createdVersion="8" refreshedVersion="8" minRefreshableVersion="3" recordCount="6" xr:uid="{FFB70763-3B72-4E6B-9306-906052776374}">
  <cacheSource type="worksheet">
    <worksheetSource name="TblDebts"/>
  </cacheSource>
  <cacheFields count="7">
    <cacheField name="Debt" numFmtId="0">
      <sharedItems count="14">
        <s v="💳 C. Card 1"/>
        <s v="💳 C. Card 2"/>
        <s v="💳 C. Card 3"/>
        <s v="👮 Personal Loan 1"/>
        <s v="👮 Personal Loan 2"/>
        <s v="🚗  Car Finance"/>
        <s v="💳 Credit Card 1" u="1"/>
        <s v="💳 Credit Card 2" u="1"/>
        <s v="💳 Credit Card 3" u="1"/>
        <s v="Personal Loan 1" u="1"/>
        <s v="Personal Loan 2" u="1"/>
        <s v="Credit Card 1" u="1"/>
        <s v="Credit Card 2" u="1"/>
        <s v="Credit Card 3" u="1"/>
      </sharedItems>
    </cacheField>
    <cacheField name="Original Loan Amount" numFmtId="167">
      <sharedItems containsSemiMixedTypes="0" containsString="0" containsNumber="1" containsInteger="1" minValue="3000" maxValue="90000"/>
    </cacheField>
    <cacheField name="Interest Rate" numFmtId="10">
      <sharedItems containsSemiMixedTypes="0" containsString="0" containsNumber="1" minValue="0.05" maxValue="0.24"/>
    </cacheField>
    <cacheField name="Amount Repaid" numFmtId="167">
      <sharedItems containsSemiMixedTypes="0" containsString="0" containsNumber="1" containsInteger="1" minValue="1240" maxValue="25000"/>
    </cacheField>
    <cacheField name="Minimum Payment" numFmtId="167">
      <sharedItems containsSemiMixedTypes="0" containsString="0" containsNumber="1" containsInteger="1" minValue="10" maxValue="390"/>
    </cacheField>
    <cacheField name="Balance Remaining" numFmtId="167">
      <sharedItems containsSemiMixedTypes="0" containsString="0" containsNumber="1" containsInteger="1" minValue="4240" maxValue="115000"/>
    </cacheField>
    <cacheField name="% Paid Off" numFmtId="9">
      <sharedItems containsSemiMixedTypes="0" containsString="0" containsNumber="1" minValue="0.1388888888888889" maxValue="0.52173913043478259"/>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om Lawrence" refreshedDate="46170.664058564813" backgroundQuery="1" createdVersion="8" refreshedVersion="8" minRefreshableVersion="3" recordCount="1026" xr:uid="{9AD8259B-E6BC-49F5-9ACA-95FF1CF3F6A0}">
  <cacheSource type="external" connectionId="1"/>
  <cacheFields count="11">
    <cacheField name="Account" numFmtId="0">
      <sharedItems containsBlank="1" count="4">
        <s v="Checking"/>
        <s v="Saving"/>
        <s v="Credit"/>
        <m/>
      </sharedItems>
    </cacheField>
    <cacheField name="Date" numFmtId="0">
      <sharedItems containsSemiMixedTypes="0" containsNonDate="0" containsDate="1" containsString="0" minDate="2024-01-01T00:00:00" maxDate="2026-12-02T00:00:00" count="834">
        <d v="2026-01-04T00:00:00"/>
        <d v="2026-01-01T00:00:00"/>
        <d v="2026-01-05T00:00:00"/>
        <d v="2026-01-06T00:00:00"/>
        <d v="2026-01-07T00:00:00"/>
        <d v="2026-01-08T00:00:00"/>
        <d v="2026-01-11T00:00:00"/>
        <d v="2026-01-12T00:00:00"/>
        <d v="2026-01-13T00:00:00"/>
        <d v="2026-01-14T00:00:00"/>
        <d v="2026-01-15T00:00:00"/>
        <d v="2026-01-16T00:00:00"/>
        <d v="2026-01-18T00:00:00"/>
        <d v="2026-01-19T00:00:00"/>
        <d v="2026-01-20T00:00:00"/>
        <d v="2026-01-21T00:00:00"/>
        <d v="2026-01-22T00:00:00"/>
        <d v="2026-01-25T00:00:00"/>
        <d v="2026-01-26T00:00:00"/>
        <d v="2026-01-27T00:00:00"/>
        <d v="2026-01-28T00:00:00"/>
        <d v="2026-01-29T00:00:00"/>
        <d v="2026-01-30T00:00:00"/>
        <d v="2026-01-23T00:00:00"/>
        <d v="2026-01-24T00:00:00"/>
        <d v="2026-01-17T00:00:00"/>
        <d v="2026-01-31T00:00:00"/>
        <d v="2026-02-01T00:00:00"/>
        <d v="2026-02-02T00:00:00"/>
        <d v="2026-02-03T00:00:00"/>
        <d v="2026-02-04T00:00:00"/>
        <d v="2026-02-05T00:00:00"/>
        <d v="2026-02-08T00:00:00"/>
        <d v="2026-02-09T00:00:00"/>
        <d v="2026-02-10T00:00:00"/>
        <d v="2026-02-11T00:00:00"/>
        <d v="2026-02-12T00:00:00"/>
        <d v="2026-02-13T00:00:00"/>
        <d v="2026-02-14T00:00:00"/>
        <d v="2026-02-15T00:00:00"/>
        <d v="2026-02-16T00:00:00"/>
        <d v="2026-02-17T00:00:00"/>
        <d v="2026-02-18T00:00:00"/>
        <d v="2026-02-19T00:00:00"/>
        <d v="2026-02-20T00:00:00"/>
        <d v="2026-02-21T00:00:00"/>
        <d v="2026-02-22T00:00:00"/>
        <d v="2026-02-23T00:00:00"/>
        <d v="2026-02-24T00:00:00"/>
        <d v="2026-02-25T00:00:00"/>
        <d v="2026-02-26T00:00:00"/>
        <d v="2026-02-27T00:00:00"/>
        <d v="2026-02-28T00:00:00"/>
        <d v="2026-03-01T00:00:00"/>
        <d v="2026-03-02T00:00:00"/>
        <d v="2026-03-03T00:00:00"/>
        <d v="2026-03-04T00:00:00"/>
        <d v="2026-03-05T00:00:00"/>
        <d v="2026-03-08T00:00:00"/>
        <d v="2026-03-09T00:00:00"/>
        <d v="2026-03-10T00:00:00"/>
        <d v="2026-03-11T00:00:00"/>
        <d v="2026-03-12T00:00:00"/>
        <d v="2026-03-13T00:00:00"/>
        <d v="2026-03-14T00:00:00"/>
        <d v="2026-03-15T00:00:00"/>
        <d v="2026-03-16T00:00:00"/>
        <d v="2026-03-17T00:00:00"/>
        <d v="2026-03-18T00:00:00"/>
        <d v="2026-03-19T00:00:00"/>
        <d v="2026-03-20T00:00:00"/>
        <d v="2026-03-21T00:00:00"/>
        <d v="2026-03-22T00:00:00"/>
        <d v="2026-03-23T00:00:00"/>
        <d v="2026-03-24T00:00:00"/>
        <d v="2026-03-25T00:00:00"/>
        <d v="2026-03-26T00:00:00"/>
        <d v="2026-03-27T00:00:00"/>
        <d v="2026-03-28T00:00:00"/>
        <d v="2026-03-29T00:00:00"/>
        <d v="2026-03-30T00:00:00"/>
        <d v="2026-03-31T00:00:00"/>
        <d v="2026-04-01T00:00:00"/>
        <d v="2026-04-02T00:00:00"/>
        <d v="2026-04-03T00:00:00"/>
        <d v="2026-04-04T00:00:00"/>
        <d v="2026-04-05T00:00:00"/>
        <d v="2026-04-08T00:00:00"/>
        <d v="2026-04-09T00:00:00"/>
        <d v="2026-04-10T00:00:00"/>
        <d v="2026-04-11T00:00:00"/>
        <d v="2026-04-12T00:00:00"/>
        <d v="2026-04-13T00:00:00"/>
        <d v="2026-04-14T00:00:00"/>
        <d v="2026-04-15T00:00:00"/>
        <d v="2026-04-16T00:00:00"/>
        <d v="2026-04-17T00:00:00"/>
        <d v="2026-04-18T00:00:00"/>
        <d v="2026-04-19T00:00:00"/>
        <d v="2026-04-20T00:00:00"/>
        <d v="2026-04-21T00:00:00"/>
        <d v="2026-04-22T00:00:00"/>
        <d v="2026-04-23T00:00:00"/>
        <d v="2026-04-24T00:00:00"/>
        <d v="2026-04-25T00:00:00"/>
        <d v="2026-04-26T00:00:00"/>
        <d v="2026-04-27T00:00:00"/>
        <d v="2026-04-28T00:00:00"/>
        <d v="2026-04-29T00:00:00"/>
        <d v="2026-04-30T00:00:00"/>
        <d v="2026-05-02T00:00:00"/>
        <d v="2026-05-03T00:00:00"/>
        <d v="2026-05-04T00:00:00"/>
        <d v="2026-05-05T00:00:00"/>
        <d v="2026-05-06T00:00:00"/>
        <d v="2026-05-09T00:00:00"/>
        <d v="2026-05-10T00:00:00"/>
        <d v="2026-05-11T00:00:00"/>
        <d v="2026-05-12T00:00:00"/>
        <d v="2026-05-13T00:00:00"/>
        <d v="2026-05-14T00:00:00"/>
        <d v="2026-05-15T00:00:00"/>
        <d v="2026-05-16T00:00:00"/>
        <d v="2026-05-17T00:00:00"/>
        <d v="2026-05-18T00:00:00"/>
        <d v="2026-05-19T00:00:00"/>
        <d v="2026-05-20T00:00:00"/>
        <d v="2026-05-21T00:00:00"/>
        <d v="2026-05-22T00:00:00"/>
        <d v="2026-05-23T00:00:00"/>
        <d v="2026-05-24T00:00:00"/>
        <d v="2026-05-25T00:00:00"/>
        <d v="2026-05-26T00:00:00"/>
        <d v="2026-05-27T00:00:00"/>
        <d v="2026-05-28T00:00:00"/>
        <d v="2026-05-29T00:00:00"/>
        <d v="2026-05-31T00:00:00"/>
        <d v="2026-05-30T00:00:00"/>
        <d v="2026-06-01T00:00:00"/>
        <d v="2026-06-03T00:00:00"/>
        <d v="2026-06-04T00:00:00"/>
        <d v="2026-06-05T00:00:00"/>
        <d v="2026-06-06T00:00:00"/>
        <d v="2026-06-09T00:00:00"/>
        <d v="2026-06-10T00:00:00"/>
        <d v="2026-06-11T00:00:00"/>
        <d v="2026-06-12T00:00:00"/>
        <d v="2026-06-13T00:00:00"/>
        <d v="2026-06-14T00:00:00"/>
        <d v="2026-06-15T00:00:00"/>
        <d v="2026-06-16T00:00:00"/>
        <d v="2026-06-17T00:00:00"/>
        <d v="2026-06-18T00:00:00"/>
        <d v="2026-06-19T00:00:00"/>
        <d v="2026-06-20T00:00:00"/>
        <d v="2026-06-21T00:00:00"/>
        <d v="2026-06-22T00:00:00"/>
        <d v="2026-06-23T00:00:00"/>
        <d v="2026-06-24T00:00:00"/>
        <d v="2026-06-25T00:00:00"/>
        <d v="2026-06-26T00:00:00"/>
        <d v="2026-06-27T00:00:00"/>
        <d v="2026-06-28T00:00:00"/>
        <d v="2026-06-29T00:00:00"/>
        <d v="2026-06-30T00:00:00"/>
        <d v="2026-07-01T00:00:00"/>
        <d v="2026-07-02T00:00:00"/>
        <d v="2026-07-03T00:00:00"/>
        <d v="2026-07-05T00:00:00"/>
        <d v="2026-07-06T00:00:00"/>
        <d v="2026-07-07T00:00:00"/>
        <d v="2026-07-10T00:00:00"/>
        <d v="2026-07-11T00:00:00"/>
        <d v="2026-07-12T00:00:00"/>
        <d v="2026-07-13T00:00:00"/>
        <d v="2026-07-14T00:00:00"/>
        <d v="2026-07-15T00:00:00"/>
        <d v="2026-07-16T00:00:00"/>
        <d v="2026-07-17T00:00:00"/>
        <d v="2026-07-18T00:00:00"/>
        <d v="2026-07-19T00:00:00"/>
        <d v="2026-07-20T00:00:00"/>
        <d v="2026-07-21T00:00:00"/>
        <d v="2026-07-22T00:00:00"/>
        <d v="2026-07-23T00:00:00"/>
        <d v="2026-07-24T00:00:00"/>
        <d v="2026-07-25T00:00:00"/>
        <d v="2026-07-26T00:00:00"/>
        <d v="2026-07-27T00:00:00"/>
        <d v="2026-07-28T00:00:00"/>
        <d v="2026-07-29T00:00:00"/>
        <d v="2026-07-30T00:00:00"/>
        <d v="2026-07-31T00:00:00"/>
        <d v="2026-08-02T00:00:00"/>
        <d v="2026-08-03T00:00:00"/>
        <d v="2026-08-05T00:00:00"/>
        <d v="2026-08-06T00:00:00"/>
        <d v="2026-08-07T00:00:00"/>
        <d v="2026-08-10T00:00:00"/>
        <d v="2026-08-11T00:00:00"/>
        <d v="2026-08-12T00:00:00"/>
        <d v="2026-08-13T00:00:00"/>
        <d v="2026-08-14T00:00:00"/>
        <d v="2026-08-15T00:00:00"/>
        <d v="2026-08-16T00:00:00"/>
        <d v="2026-08-17T00:00:00"/>
        <d v="2026-08-18T00:00:00"/>
        <d v="2026-08-19T00:00:00"/>
        <d v="2026-08-20T00:00:00"/>
        <d v="2026-08-21T00:00:00"/>
        <d v="2026-08-22T00:00:00"/>
        <d v="2026-08-23T00:00:00"/>
        <d v="2026-08-24T00:00:00"/>
        <d v="2026-08-25T00:00:00"/>
        <d v="2026-08-26T00:00:00"/>
        <d v="2026-08-27T00:00:00"/>
        <d v="2026-08-28T00:00:00"/>
        <d v="2026-08-29T00:00:00"/>
        <d v="2026-08-30T00:00:00"/>
        <d v="2026-08-31T00:00:00"/>
        <d v="2026-09-02T00:00:00"/>
        <d v="2026-09-03T00:00:00"/>
        <d v="2026-09-05T00:00:00"/>
        <d v="2026-09-06T00:00:00"/>
        <d v="2026-09-07T00:00:00"/>
        <d v="2026-09-10T00:00:00"/>
        <d v="2026-09-11T00:00:00"/>
        <d v="2026-09-12T00:00:00"/>
        <d v="2026-09-13T00:00:00"/>
        <d v="2026-09-14T00:00:00"/>
        <d v="2026-09-15T00:00:00"/>
        <d v="2026-09-16T00:00:00"/>
        <d v="2026-09-17T00:00:00"/>
        <d v="2026-09-18T00:00:00"/>
        <d v="2026-09-19T00:00:00"/>
        <d v="2026-09-20T00:00:00"/>
        <d v="2026-09-21T00:00:00"/>
        <d v="2026-09-22T00:00:00"/>
        <d v="2026-09-23T00:00:00"/>
        <d v="2026-09-24T00:00:00"/>
        <d v="2026-09-25T00:00:00"/>
        <d v="2026-09-26T00:00:00"/>
        <d v="2026-09-27T00:00:00"/>
        <d v="2026-09-28T00:00:00"/>
        <d v="2026-09-29T00:00:00"/>
        <d v="2026-09-30T00:00:00"/>
        <d v="2026-10-01T00:00:00"/>
        <d v="2026-10-03T00:00:00"/>
        <d v="2026-10-04T00:00:00"/>
        <d v="2026-10-06T00:00:00"/>
        <d v="2026-10-07T00:00:00"/>
        <d v="2026-10-08T00:00:00"/>
        <d v="2026-10-11T00:00:00"/>
        <d v="2026-10-12T00:00:00"/>
        <d v="2026-10-13T00:00:00"/>
        <d v="2026-10-14T00:00:00"/>
        <d v="2026-10-15T00:00:00"/>
        <d v="2026-10-16T00:00:00"/>
        <d v="2026-10-17T00:00:00"/>
        <d v="2026-10-18T00:00:00"/>
        <d v="2026-10-19T00:00:00"/>
        <d v="2026-10-20T00:00:00"/>
        <d v="2026-10-21T00:00:00"/>
        <d v="2026-10-22T00:00:00"/>
        <d v="2026-10-23T00:00:00"/>
        <d v="2026-10-24T00:00:00"/>
        <d v="2026-10-25T00:00:00"/>
        <d v="2026-10-26T00:00:00"/>
        <d v="2026-10-27T00:00:00"/>
        <d v="2026-10-28T00:00:00"/>
        <d v="2026-10-29T00:00:00"/>
        <d v="2026-10-30T00:00:00"/>
        <d v="2026-10-31T00:00:00"/>
        <d v="2026-05-01T00:00:00"/>
        <d v="2026-08-01T00:00:00"/>
        <d v="2026-09-01T00:00:00"/>
        <d v="2026-11-01T00:00:00"/>
        <d v="2026-12-01T00:00:00"/>
        <d v="2025-01-04T00:00:00" u="1"/>
        <d v="2025-01-01T00:00:00" u="1"/>
        <d v="2025-01-05T00:00:00" u="1"/>
        <d v="2025-01-06T00:00:00" u="1"/>
        <d v="2025-01-07T00:00:00" u="1"/>
        <d v="2025-01-08T00:00:00" u="1"/>
        <d v="2025-01-11T00:00:00" u="1"/>
        <d v="2025-01-12T00:00:00" u="1"/>
        <d v="2025-01-13T00:00:00" u="1"/>
        <d v="2025-01-14T00:00:00" u="1"/>
        <d v="2025-01-15T00:00:00" u="1"/>
        <d v="2025-01-16T00:00:00" u="1"/>
        <d v="2025-01-18T00:00:00" u="1"/>
        <d v="2025-01-19T00:00:00" u="1"/>
        <d v="2025-01-20T00:00:00" u="1"/>
        <d v="2025-01-21T00:00:00" u="1"/>
        <d v="2025-01-22T00:00:00" u="1"/>
        <d v="2025-01-25T00:00:00" u="1"/>
        <d v="2025-01-26T00:00:00" u="1"/>
        <d v="2025-01-27T00:00:00" u="1"/>
        <d v="2025-01-28T00:00:00" u="1"/>
        <d v="2025-01-29T00:00:00" u="1"/>
        <d v="2025-01-30T00:00:00" u="1"/>
        <d v="2025-01-23T00:00:00" u="1"/>
        <d v="2025-01-24T00:00:00" u="1"/>
        <d v="2025-01-17T00:00:00" u="1"/>
        <d v="2025-01-31T00:00:00" u="1"/>
        <d v="2025-02-01T00:00:00" u="1"/>
        <d v="2025-02-02T00:00:00" u="1"/>
        <d v="2025-02-03T00:00:00" u="1"/>
        <d v="2025-02-04T00:00:00" u="1"/>
        <d v="2025-02-05T00:00:00" u="1"/>
        <d v="2025-02-08T00:00:00" u="1"/>
        <d v="2025-02-09T00:00:00" u="1"/>
        <d v="2025-02-10T00:00:00" u="1"/>
        <d v="2025-02-11T00:00:00" u="1"/>
        <d v="2025-02-12T00:00:00" u="1"/>
        <d v="2025-02-13T00:00:00" u="1"/>
        <d v="2025-02-14T00:00:00" u="1"/>
        <d v="2025-02-15T00:00:00" u="1"/>
        <d v="2025-02-16T00:00:00" u="1"/>
        <d v="2025-02-17T00:00:00" u="1"/>
        <d v="2025-02-18T00:00:00" u="1"/>
        <d v="2025-02-19T00:00:00" u="1"/>
        <d v="2025-02-20T00:00:00" u="1"/>
        <d v="2025-02-21T00:00:00" u="1"/>
        <d v="2025-02-22T00:00:00" u="1"/>
        <d v="2025-02-23T00:00:00" u="1"/>
        <d v="2025-02-24T00:00:00" u="1"/>
        <d v="2025-02-25T00:00:00" u="1"/>
        <d v="2025-02-26T00:00:00" u="1"/>
        <d v="2025-02-27T00:00:00" u="1"/>
        <d v="2025-02-28T00:00:00" u="1"/>
        <d v="2025-03-01T00:00:00" u="1"/>
        <d v="2025-03-02T00:00:00" u="1"/>
        <d v="2025-03-03T00:00:00" u="1"/>
        <d v="2025-03-04T00:00:00" u="1"/>
        <d v="2025-03-05T00:00:00" u="1"/>
        <d v="2025-03-08T00:00:00" u="1"/>
        <d v="2025-03-09T00:00:00" u="1"/>
        <d v="2025-03-10T00:00:00" u="1"/>
        <d v="2025-03-11T00:00:00" u="1"/>
        <d v="2025-03-12T00:00:00" u="1"/>
        <d v="2025-03-13T00:00:00" u="1"/>
        <d v="2025-03-14T00:00:00" u="1"/>
        <d v="2025-03-15T00:00:00" u="1"/>
        <d v="2025-03-16T00:00:00" u="1"/>
        <d v="2025-03-17T00:00:00" u="1"/>
        <d v="2025-03-18T00:00:00" u="1"/>
        <d v="2025-03-19T00:00:00" u="1"/>
        <d v="2025-03-20T00:00:00" u="1"/>
        <d v="2025-03-21T00:00:00" u="1"/>
        <d v="2025-03-22T00:00:00" u="1"/>
        <d v="2025-03-23T00:00:00" u="1"/>
        <d v="2025-03-24T00:00:00" u="1"/>
        <d v="2025-03-25T00:00:00" u="1"/>
        <d v="2025-03-26T00:00:00" u="1"/>
        <d v="2025-03-27T00:00:00" u="1"/>
        <d v="2025-03-28T00:00:00" u="1"/>
        <d v="2025-03-29T00:00:00" u="1"/>
        <d v="2025-03-30T00:00:00" u="1"/>
        <d v="2025-03-31T00:00:00" u="1"/>
        <d v="2025-04-01T00:00:00" u="1"/>
        <d v="2025-04-02T00:00:00" u="1"/>
        <d v="2025-04-03T00:00:00" u="1"/>
        <d v="2025-04-04T00:00:00" u="1"/>
        <d v="2025-04-05T00:00:00" u="1"/>
        <d v="2025-04-08T00:00:00" u="1"/>
        <d v="2025-04-09T00:00:00" u="1"/>
        <d v="2025-04-10T00:00:00" u="1"/>
        <d v="2025-04-11T00:00:00" u="1"/>
        <d v="2025-04-12T00:00:00" u="1"/>
        <d v="2025-04-13T00:00:00" u="1"/>
        <d v="2025-04-14T00:00:00" u="1"/>
        <d v="2025-04-15T00:00:00" u="1"/>
        <d v="2025-04-16T00:00:00" u="1"/>
        <d v="2025-04-17T00:00:00" u="1"/>
        <d v="2025-04-18T00:00:00" u="1"/>
        <d v="2025-04-19T00:00:00" u="1"/>
        <d v="2025-04-20T00:00:00" u="1"/>
        <d v="2025-04-21T00:00:00" u="1"/>
        <d v="2025-04-22T00:00:00" u="1"/>
        <d v="2025-04-23T00:00:00" u="1"/>
        <d v="2025-04-24T00:00:00" u="1"/>
        <d v="2025-04-25T00:00:00" u="1"/>
        <d v="2025-04-26T00:00:00" u="1"/>
        <d v="2025-04-27T00:00:00" u="1"/>
        <d v="2025-04-28T00:00:00" u="1"/>
        <d v="2025-04-29T00:00:00" u="1"/>
        <d v="2025-04-30T00:00:00" u="1"/>
        <d v="2025-05-02T00:00:00" u="1"/>
        <d v="2025-05-03T00:00:00" u="1"/>
        <d v="2025-05-04T00:00:00" u="1"/>
        <d v="2025-05-05T00:00:00" u="1"/>
        <d v="2025-05-06T00:00:00" u="1"/>
        <d v="2025-05-09T00:00:00" u="1"/>
        <d v="2025-05-10T00:00:00" u="1"/>
        <d v="2025-05-11T00:00:00" u="1"/>
        <d v="2025-05-12T00:00:00" u="1"/>
        <d v="2025-05-13T00:00:00" u="1"/>
        <d v="2025-05-14T00:00:00" u="1"/>
        <d v="2025-05-15T00:00:00" u="1"/>
        <d v="2025-05-16T00:00:00" u="1"/>
        <d v="2025-05-17T00:00:00" u="1"/>
        <d v="2025-05-18T00:00:00" u="1"/>
        <d v="2025-05-19T00:00:00" u="1"/>
        <d v="2025-05-20T00:00:00" u="1"/>
        <d v="2025-05-21T00:00:00" u="1"/>
        <d v="2025-05-22T00:00:00" u="1"/>
        <d v="2025-05-23T00:00:00" u="1"/>
        <d v="2025-05-24T00:00:00" u="1"/>
        <d v="2025-05-25T00:00:00" u="1"/>
        <d v="2025-05-26T00:00:00" u="1"/>
        <d v="2025-05-27T00:00:00" u="1"/>
        <d v="2025-05-28T00:00:00" u="1"/>
        <d v="2025-05-29T00:00:00" u="1"/>
        <d v="2025-05-31T00:00:00" u="1"/>
        <d v="2025-05-30T00:00:00" u="1"/>
        <d v="2025-06-01T00:00:00" u="1"/>
        <d v="2025-06-03T00:00:00" u="1"/>
        <d v="2025-06-04T00:00:00" u="1"/>
        <d v="2025-06-05T00:00:00" u="1"/>
        <d v="2025-06-06T00:00:00" u="1"/>
        <d v="2025-06-09T00:00:00" u="1"/>
        <d v="2025-06-10T00:00:00" u="1"/>
        <d v="2025-06-11T00:00:00" u="1"/>
        <d v="2025-06-12T00:00:00" u="1"/>
        <d v="2025-06-13T00:00:00" u="1"/>
        <d v="2025-06-14T00:00:00" u="1"/>
        <d v="2025-06-15T00:00:00" u="1"/>
        <d v="2025-06-16T00:00:00" u="1"/>
        <d v="2025-06-17T00:00:00" u="1"/>
        <d v="2025-06-18T00:00:00" u="1"/>
        <d v="2025-06-19T00:00:00" u="1"/>
        <d v="2025-06-20T00:00:00" u="1"/>
        <d v="2025-06-21T00:00:00" u="1"/>
        <d v="2025-06-22T00:00:00" u="1"/>
        <d v="2025-06-23T00:00:00" u="1"/>
        <d v="2025-06-24T00:00:00" u="1"/>
        <d v="2025-06-25T00:00:00" u="1"/>
        <d v="2025-06-26T00:00:00" u="1"/>
        <d v="2025-06-27T00:00:00" u="1"/>
        <d v="2025-06-28T00:00:00" u="1"/>
        <d v="2025-06-29T00:00:00" u="1"/>
        <d v="2025-06-30T00:00:00" u="1"/>
        <d v="2025-07-01T00:00:00" u="1"/>
        <d v="2025-07-02T00:00:00" u="1"/>
        <d v="2025-07-03T00:00:00" u="1"/>
        <d v="2025-07-05T00:00:00" u="1"/>
        <d v="2025-07-06T00:00:00" u="1"/>
        <d v="2025-07-07T00:00:00" u="1"/>
        <d v="2025-07-10T00:00:00" u="1"/>
        <d v="2025-07-11T00:00:00" u="1"/>
        <d v="2025-07-12T00:00:00" u="1"/>
        <d v="2025-07-13T00:00:00" u="1"/>
        <d v="2025-07-14T00:00:00" u="1"/>
        <d v="2025-07-15T00:00:00" u="1"/>
        <d v="2025-07-16T00:00:00" u="1"/>
        <d v="2025-07-17T00:00:00" u="1"/>
        <d v="2025-07-18T00:00:00" u="1"/>
        <d v="2025-07-19T00:00:00" u="1"/>
        <d v="2025-07-20T00:00:00" u="1"/>
        <d v="2025-07-21T00:00:00" u="1"/>
        <d v="2025-07-22T00:00:00" u="1"/>
        <d v="2025-07-23T00:00:00" u="1"/>
        <d v="2025-07-24T00:00:00" u="1"/>
        <d v="2025-07-25T00:00:00" u="1"/>
        <d v="2025-07-26T00:00:00" u="1"/>
        <d v="2025-07-27T00:00:00" u="1"/>
        <d v="2025-07-28T00:00:00" u="1"/>
        <d v="2025-07-29T00:00:00" u="1"/>
        <d v="2025-07-30T00:00:00" u="1"/>
        <d v="2025-07-31T00:00:00" u="1"/>
        <d v="2025-08-02T00:00:00" u="1"/>
        <d v="2025-08-03T00:00:00" u="1"/>
        <d v="2025-08-05T00:00:00" u="1"/>
        <d v="2025-08-06T00:00:00" u="1"/>
        <d v="2025-08-07T00:00:00" u="1"/>
        <d v="2025-08-10T00:00:00" u="1"/>
        <d v="2025-08-11T00:00:00" u="1"/>
        <d v="2025-08-12T00:00:00" u="1"/>
        <d v="2025-08-13T00:00:00" u="1"/>
        <d v="2025-08-14T00:00:00" u="1"/>
        <d v="2025-08-15T00:00:00" u="1"/>
        <d v="2025-08-16T00:00:00" u="1"/>
        <d v="2025-08-17T00:00:00" u="1"/>
        <d v="2025-08-18T00:00:00" u="1"/>
        <d v="2025-08-19T00:00:00" u="1"/>
        <d v="2025-08-20T00:00:00" u="1"/>
        <d v="2025-08-21T00:00:00" u="1"/>
        <d v="2025-08-22T00:00:00" u="1"/>
        <d v="2025-08-23T00:00:00" u="1"/>
        <d v="2025-08-24T00:00:00" u="1"/>
        <d v="2025-08-25T00:00:00" u="1"/>
        <d v="2025-08-26T00:00:00" u="1"/>
        <d v="2025-08-27T00:00:00" u="1"/>
        <d v="2025-08-28T00:00:00" u="1"/>
        <d v="2025-08-29T00:00:00" u="1"/>
        <d v="2025-08-30T00:00:00" u="1"/>
        <d v="2025-08-31T00:00:00" u="1"/>
        <d v="2025-09-02T00:00:00" u="1"/>
        <d v="2025-09-03T00:00:00" u="1"/>
        <d v="2025-09-05T00:00:00" u="1"/>
        <d v="2025-09-06T00:00:00" u="1"/>
        <d v="2025-09-07T00:00:00" u="1"/>
        <d v="2025-09-10T00:00:00" u="1"/>
        <d v="2025-09-11T00:00:00" u="1"/>
        <d v="2025-09-12T00:00:00" u="1"/>
        <d v="2025-09-13T00:00:00" u="1"/>
        <d v="2025-09-14T00:00:00" u="1"/>
        <d v="2025-09-15T00:00:00" u="1"/>
        <d v="2025-09-16T00:00:00" u="1"/>
        <d v="2025-09-17T00:00:00" u="1"/>
        <d v="2025-09-18T00:00:00" u="1"/>
        <d v="2025-09-19T00:00:00" u="1"/>
        <d v="2025-09-20T00:00:00" u="1"/>
        <d v="2025-09-21T00:00:00" u="1"/>
        <d v="2025-09-22T00:00:00" u="1"/>
        <d v="2025-09-23T00:00:00" u="1"/>
        <d v="2025-09-24T00:00:00" u="1"/>
        <d v="2025-09-25T00:00:00" u="1"/>
        <d v="2025-09-26T00:00:00" u="1"/>
        <d v="2025-09-27T00:00:00" u="1"/>
        <d v="2025-09-28T00:00:00" u="1"/>
        <d v="2025-09-29T00:00:00" u="1"/>
        <d v="2025-09-30T00:00:00" u="1"/>
        <d v="2025-10-01T00:00:00" u="1"/>
        <d v="2025-10-03T00:00:00" u="1"/>
        <d v="2025-10-04T00:00:00" u="1"/>
        <d v="2025-10-06T00:00:00" u="1"/>
        <d v="2025-10-07T00:00:00" u="1"/>
        <d v="2025-10-08T00:00:00" u="1"/>
        <d v="2025-10-11T00:00:00" u="1"/>
        <d v="2025-10-12T00:00:00" u="1"/>
        <d v="2025-10-13T00:00:00" u="1"/>
        <d v="2025-10-14T00:00:00" u="1"/>
        <d v="2025-10-15T00:00:00" u="1"/>
        <d v="2025-10-16T00:00:00" u="1"/>
        <d v="2025-10-17T00:00:00" u="1"/>
        <d v="2025-10-18T00:00:00" u="1"/>
        <d v="2025-10-19T00:00:00" u="1"/>
        <d v="2025-10-20T00:00:00" u="1"/>
        <d v="2025-10-21T00:00:00" u="1"/>
        <d v="2025-10-22T00:00:00" u="1"/>
        <d v="2025-10-23T00:00:00" u="1"/>
        <d v="2025-10-24T00:00:00" u="1"/>
        <d v="2025-10-25T00:00:00" u="1"/>
        <d v="2025-10-26T00:00:00" u="1"/>
        <d v="2025-10-27T00:00:00" u="1"/>
        <d v="2025-10-28T00:00:00" u="1"/>
        <d v="2025-10-29T00:00:00" u="1"/>
        <d v="2025-10-30T00:00:00" u="1"/>
        <d v="2025-10-31T00:00:00" u="1"/>
        <d v="2025-05-01T00:00:00" u="1"/>
        <d v="2025-08-01T00:00:00" u="1"/>
        <d v="2025-09-01T00:00:00" u="1"/>
        <d v="2025-11-01T00:00:00" u="1"/>
        <d v="2025-12-01T00:00:00" u="1"/>
        <d v="2024-01-04T00:00:00" u="1"/>
        <d v="2024-01-01T00:00:00" u="1"/>
        <d v="2024-01-05T00:00:00" u="1"/>
        <d v="2024-01-06T00:00:00" u="1"/>
        <d v="2024-01-07T00:00:00" u="1"/>
        <d v="2024-01-08T00:00:00" u="1"/>
        <d v="2024-01-11T00:00:00" u="1"/>
        <d v="2024-01-12T00:00:00" u="1"/>
        <d v="2024-01-13T00:00:00" u="1"/>
        <d v="2024-01-14T00:00:00" u="1"/>
        <d v="2024-01-15T00:00:00" u="1"/>
        <d v="2024-01-16T00:00:00" u="1"/>
        <d v="2024-01-18T00:00:00" u="1"/>
        <d v="2024-01-19T00:00:00" u="1"/>
        <d v="2024-01-20T00:00:00" u="1"/>
        <d v="2024-01-21T00:00:00" u="1"/>
        <d v="2024-01-22T00:00:00" u="1"/>
        <d v="2024-01-25T00:00:00" u="1"/>
        <d v="2024-01-26T00:00:00" u="1"/>
        <d v="2024-01-27T00:00:00" u="1"/>
        <d v="2024-01-28T00:00:00" u="1"/>
        <d v="2024-01-29T00:00:00" u="1"/>
        <d v="2024-01-30T00:00:00" u="1"/>
        <d v="2024-01-23T00:00:00" u="1"/>
        <d v="2024-01-24T00:00:00" u="1"/>
        <d v="2024-01-17T00:00:00" u="1"/>
        <d v="2024-01-31T00:00:00" u="1"/>
        <d v="2024-02-01T00:00:00" u="1"/>
        <d v="2024-02-02T00:00:00" u="1"/>
        <d v="2024-02-03T00:00:00" u="1"/>
        <d v="2024-02-04T00:00:00" u="1"/>
        <d v="2024-02-05T00:00:00" u="1"/>
        <d v="2024-02-08T00:00:00" u="1"/>
        <d v="2024-02-09T00:00:00" u="1"/>
        <d v="2024-02-10T00:00:00" u="1"/>
        <d v="2024-02-11T00:00:00" u="1"/>
        <d v="2024-02-12T00:00:00" u="1"/>
        <d v="2024-02-13T00:00:00" u="1"/>
        <d v="2024-02-14T00:00:00" u="1"/>
        <d v="2024-02-15T00:00:00" u="1"/>
        <d v="2024-02-16T00:00:00" u="1"/>
        <d v="2024-02-17T00:00:00" u="1"/>
        <d v="2024-02-18T00:00:00" u="1"/>
        <d v="2024-02-19T00:00:00" u="1"/>
        <d v="2024-02-20T00:00:00" u="1"/>
        <d v="2024-02-21T00:00:00" u="1"/>
        <d v="2024-02-22T00:00:00" u="1"/>
        <d v="2024-02-23T00:00:00" u="1"/>
        <d v="2024-02-24T00:00:00" u="1"/>
        <d v="2024-02-25T00:00:00" u="1"/>
        <d v="2024-02-26T00:00:00" u="1"/>
        <d v="2024-02-27T00:00:00" u="1"/>
        <d v="2024-02-28T00:00:00" u="1"/>
        <d v="2024-03-01T00:00:00" u="1"/>
        <d v="2024-03-02T00:00:00" u="1"/>
        <d v="2024-03-03T00:00:00" u="1"/>
        <d v="2024-03-04T00:00:00" u="1"/>
        <d v="2024-03-05T00:00:00" u="1"/>
        <d v="2024-03-08T00:00:00" u="1"/>
        <d v="2024-03-09T00:00:00" u="1"/>
        <d v="2024-03-10T00:00:00" u="1"/>
        <d v="2024-03-11T00:00:00" u="1"/>
        <d v="2024-03-12T00:00:00" u="1"/>
        <d v="2024-03-13T00:00:00" u="1"/>
        <d v="2024-03-14T00:00:00" u="1"/>
        <d v="2024-03-15T00:00:00" u="1"/>
        <d v="2024-03-16T00:00:00" u="1"/>
        <d v="2024-03-17T00:00:00" u="1"/>
        <d v="2024-03-18T00:00:00" u="1"/>
        <d v="2024-03-19T00:00:00" u="1"/>
        <d v="2024-03-20T00:00:00" u="1"/>
        <d v="2024-03-21T00:00:00" u="1"/>
        <d v="2024-03-22T00:00:00" u="1"/>
        <d v="2024-03-23T00:00:00" u="1"/>
        <d v="2024-03-24T00:00:00" u="1"/>
        <d v="2024-03-25T00:00:00" u="1"/>
        <d v="2024-03-26T00:00:00" u="1"/>
        <d v="2024-03-27T00:00:00" u="1"/>
        <d v="2024-03-28T00:00:00" u="1"/>
        <d v="2024-03-29T00:00:00" u="1"/>
        <d v="2024-03-30T00:00:00" u="1"/>
        <d v="2024-03-31T00:00:00" u="1"/>
        <d v="2024-04-01T00:00:00" u="1"/>
        <d v="2024-04-02T00:00:00" u="1"/>
        <d v="2024-04-03T00:00:00" u="1"/>
        <d v="2024-04-04T00:00:00" u="1"/>
        <d v="2024-04-05T00:00:00" u="1"/>
        <d v="2024-04-08T00:00:00" u="1"/>
        <d v="2024-04-09T00:00:00" u="1"/>
        <d v="2024-04-10T00:00:00" u="1"/>
        <d v="2024-04-11T00:00:00" u="1"/>
        <d v="2024-04-12T00:00:00" u="1"/>
        <d v="2024-04-13T00:00:00" u="1"/>
        <d v="2024-04-14T00:00:00" u="1"/>
        <d v="2024-04-15T00:00:00" u="1"/>
        <d v="2024-04-16T00:00:00" u="1"/>
        <d v="2024-04-17T00:00:00" u="1"/>
        <d v="2024-04-18T00:00:00" u="1"/>
        <d v="2024-04-19T00:00:00" u="1"/>
        <d v="2024-04-20T00:00:00" u="1"/>
        <d v="2024-04-21T00:00:00" u="1"/>
        <d v="2024-04-22T00:00:00" u="1"/>
        <d v="2024-04-23T00:00:00" u="1"/>
        <d v="2024-04-24T00:00:00" u="1"/>
        <d v="2024-04-25T00:00:00" u="1"/>
        <d v="2024-04-26T00:00:00" u="1"/>
        <d v="2024-04-27T00:00:00" u="1"/>
        <d v="2024-04-28T00:00:00" u="1"/>
        <d v="2024-04-29T00:00:00" u="1"/>
        <d v="2024-04-30T00:00:00" u="1"/>
        <d v="2024-05-02T00:00:00" u="1"/>
        <d v="2024-05-03T00:00:00" u="1"/>
        <d v="2024-05-04T00:00:00" u="1"/>
        <d v="2024-05-05T00:00:00" u="1"/>
        <d v="2024-05-06T00:00:00" u="1"/>
        <d v="2024-05-09T00:00:00" u="1"/>
        <d v="2024-05-10T00:00:00" u="1"/>
        <d v="2024-05-11T00:00:00" u="1"/>
        <d v="2024-05-12T00:00:00" u="1"/>
        <d v="2024-05-13T00:00:00" u="1"/>
        <d v="2024-05-14T00:00:00" u="1"/>
        <d v="2024-05-15T00:00:00" u="1"/>
        <d v="2024-05-16T00:00:00" u="1"/>
        <d v="2024-05-17T00:00:00" u="1"/>
        <d v="2024-05-18T00:00:00" u="1"/>
        <d v="2024-05-19T00:00:00" u="1"/>
        <d v="2024-05-20T00:00:00" u="1"/>
        <d v="2024-05-21T00:00:00" u="1"/>
        <d v="2024-05-22T00:00:00" u="1"/>
        <d v="2024-05-23T00:00:00" u="1"/>
        <d v="2024-05-24T00:00:00" u="1"/>
        <d v="2024-05-25T00:00:00" u="1"/>
        <d v="2024-05-26T00:00:00" u="1"/>
        <d v="2024-05-27T00:00:00" u="1"/>
        <d v="2024-05-28T00:00:00" u="1"/>
        <d v="2024-05-29T00:00:00" u="1"/>
        <d v="2024-05-31T00:00:00" u="1"/>
        <d v="2024-05-30T00:00:00" u="1"/>
        <d v="2024-06-01T00:00:00" u="1"/>
        <d v="2024-06-03T00:00:00" u="1"/>
        <d v="2024-06-04T00:00:00" u="1"/>
        <d v="2024-06-05T00:00:00" u="1"/>
        <d v="2024-06-06T00:00:00" u="1"/>
        <d v="2024-06-09T00:00:00" u="1"/>
        <d v="2024-06-10T00:00:00" u="1"/>
        <d v="2024-06-11T00:00:00" u="1"/>
        <d v="2024-06-12T00:00:00" u="1"/>
        <d v="2024-06-13T00:00:00" u="1"/>
        <d v="2024-06-14T00:00:00" u="1"/>
        <d v="2024-06-15T00:00:00" u="1"/>
        <d v="2024-06-16T00:00:00" u="1"/>
        <d v="2024-06-17T00:00:00" u="1"/>
        <d v="2024-06-18T00:00:00" u="1"/>
        <d v="2024-06-19T00:00:00" u="1"/>
        <d v="2024-06-20T00:00:00" u="1"/>
        <d v="2024-06-21T00:00:00" u="1"/>
        <d v="2024-06-22T00:00:00" u="1"/>
        <d v="2024-06-23T00:00:00" u="1"/>
        <d v="2024-06-24T00:00:00" u="1"/>
        <d v="2024-06-25T00:00:00" u="1"/>
        <d v="2024-06-26T00:00:00" u="1"/>
        <d v="2024-06-27T00:00:00" u="1"/>
        <d v="2024-06-28T00:00:00" u="1"/>
        <d v="2024-06-29T00:00:00" u="1"/>
        <d v="2024-06-30T00:00:00" u="1"/>
        <d v="2024-07-01T00:00:00" u="1"/>
        <d v="2024-07-02T00:00:00" u="1"/>
        <d v="2024-07-03T00:00:00" u="1"/>
        <d v="2024-07-05T00:00:00" u="1"/>
        <d v="2024-07-06T00:00:00" u="1"/>
        <d v="2024-07-07T00:00:00" u="1"/>
        <d v="2024-07-10T00:00:00" u="1"/>
        <d v="2024-07-11T00:00:00" u="1"/>
        <d v="2024-07-12T00:00:00" u="1"/>
        <d v="2024-07-13T00:00:00" u="1"/>
        <d v="2024-07-14T00:00:00" u="1"/>
        <d v="2024-07-15T00:00:00" u="1"/>
        <d v="2024-07-16T00:00:00" u="1"/>
        <d v="2024-07-17T00:00:00" u="1"/>
        <d v="2024-07-18T00:00:00" u="1"/>
        <d v="2024-07-19T00:00:00" u="1"/>
        <d v="2024-07-20T00:00:00" u="1"/>
        <d v="2024-07-21T00:00:00" u="1"/>
        <d v="2024-07-22T00:00:00" u="1"/>
        <d v="2024-07-23T00:00:00" u="1"/>
        <d v="2024-07-24T00:00:00" u="1"/>
        <d v="2024-07-25T00:00:00" u="1"/>
        <d v="2024-07-26T00:00:00" u="1"/>
        <d v="2024-07-27T00:00:00" u="1"/>
        <d v="2024-07-28T00:00:00" u="1"/>
        <d v="2024-07-29T00:00:00" u="1"/>
        <d v="2024-07-30T00:00:00" u="1"/>
        <d v="2024-07-31T00:00:00" u="1"/>
        <d v="2024-08-02T00:00:00" u="1"/>
        <d v="2024-08-03T00:00:00" u="1"/>
        <d v="2024-08-05T00:00:00" u="1"/>
        <d v="2024-08-06T00:00:00" u="1"/>
        <d v="2024-08-07T00:00:00" u="1"/>
        <d v="2024-08-10T00:00:00" u="1"/>
        <d v="2024-08-11T00:00:00" u="1"/>
        <d v="2024-08-12T00:00:00" u="1"/>
        <d v="2024-08-13T00:00:00" u="1"/>
        <d v="2024-08-14T00:00:00" u="1"/>
        <d v="2024-08-15T00:00:00" u="1"/>
        <d v="2024-08-16T00:00:00" u="1"/>
        <d v="2024-08-17T00:00:00" u="1"/>
        <d v="2024-08-18T00:00:00" u="1"/>
        <d v="2024-08-19T00:00:00" u="1"/>
        <d v="2024-08-20T00:00:00" u="1"/>
        <d v="2024-08-21T00:00:00" u="1"/>
        <d v="2024-08-22T00:00:00" u="1"/>
        <d v="2024-08-23T00:00:00" u="1"/>
        <d v="2024-08-24T00:00:00" u="1"/>
        <d v="2024-08-25T00:00:00" u="1"/>
        <d v="2024-08-26T00:00:00" u="1"/>
        <d v="2024-08-27T00:00:00" u="1"/>
        <d v="2024-08-28T00:00:00" u="1"/>
        <d v="2024-08-29T00:00:00" u="1"/>
        <d v="2024-08-30T00:00:00" u="1"/>
        <d v="2024-08-31T00:00:00" u="1"/>
        <d v="2024-09-02T00:00:00" u="1"/>
        <d v="2024-09-03T00:00:00" u="1"/>
        <d v="2024-09-05T00:00:00" u="1"/>
        <d v="2024-09-06T00:00:00" u="1"/>
        <d v="2024-09-07T00:00:00" u="1"/>
        <d v="2024-09-10T00:00:00" u="1"/>
        <d v="2024-09-11T00:00:00" u="1"/>
        <d v="2024-09-12T00:00:00" u="1"/>
        <d v="2024-09-13T00:00:00" u="1"/>
        <d v="2024-09-14T00:00:00" u="1"/>
        <d v="2024-09-15T00:00:00" u="1"/>
        <d v="2024-09-16T00:00:00" u="1"/>
        <d v="2024-09-17T00:00:00" u="1"/>
        <d v="2024-09-18T00:00:00" u="1"/>
        <d v="2024-09-19T00:00:00" u="1"/>
        <d v="2024-09-20T00:00:00" u="1"/>
        <d v="2024-09-21T00:00:00" u="1"/>
        <d v="2024-09-22T00:00:00" u="1"/>
        <d v="2024-09-23T00:00:00" u="1"/>
        <d v="2024-09-24T00:00:00" u="1"/>
        <d v="2024-09-25T00:00:00" u="1"/>
        <d v="2024-09-26T00:00:00" u="1"/>
        <d v="2024-09-27T00:00:00" u="1"/>
        <d v="2024-09-28T00:00:00" u="1"/>
        <d v="2024-09-29T00:00:00" u="1"/>
        <d v="2024-09-30T00:00:00" u="1"/>
        <d v="2024-10-01T00:00:00" u="1"/>
        <d v="2024-10-03T00:00:00" u="1"/>
        <d v="2024-10-04T00:00:00" u="1"/>
        <d v="2024-10-06T00:00:00" u="1"/>
        <d v="2024-10-07T00:00:00" u="1"/>
        <d v="2024-10-08T00:00:00" u="1"/>
        <d v="2024-10-11T00:00:00" u="1"/>
        <d v="2024-10-12T00:00:00" u="1"/>
        <d v="2024-10-13T00:00:00" u="1"/>
        <d v="2024-10-14T00:00:00" u="1"/>
        <d v="2024-10-15T00:00:00" u="1"/>
        <d v="2024-10-16T00:00:00" u="1"/>
        <d v="2024-10-17T00:00:00" u="1"/>
        <d v="2024-10-18T00:00:00" u="1"/>
        <d v="2024-10-19T00:00:00" u="1"/>
        <d v="2024-10-20T00:00:00" u="1"/>
        <d v="2024-10-21T00:00:00" u="1"/>
        <d v="2024-10-22T00:00:00" u="1"/>
        <d v="2024-10-23T00:00:00" u="1"/>
        <d v="2024-10-24T00:00:00" u="1"/>
        <d v="2024-10-25T00:00:00" u="1"/>
        <d v="2024-10-26T00:00:00" u="1"/>
        <d v="2024-10-27T00:00:00" u="1"/>
        <d v="2024-10-28T00:00:00" u="1"/>
        <d v="2024-10-29T00:00:00" u="1"/>
        <d v="2024-10-30T00:00:00" u="1"/>
        <d v="2024-10-31T00:00:00" u="1"/>
        <d v="2024-05-01T00:00:00" u="1"/>
        <d v="2024-08-01T00:00:00" u="1"/>
        <d v="2024-09-01T00:00:00" u="1"/>
        <d v="2024-11-01T00:00:00" u="1"/>
        <d v="2024-12-01T00:00:00" u="1"/>
      </sharedItems>
    </cacheField>
    <cacheField name="Description" numFmtId="0">
      <sharedItems containsBlank="1"/>
    </cacheField>
    <cacheField name="Sub-category" numFmtId="0">
      <sharedItems count="50">
        <s v="Salary"/>
        <s v="Interest"/>
        <s v="Coffee"/>
        <s v="Rent"/>
        <s v="MV Loan"/>
        <s v="Groceries"/>
        <s v="Gas/Electrics"/>
        <s v="MV Fuel"/>
        <s v="Clothes"/>
        <s v="Dentist"/>
        <s v="Donation"/>
        <s v="Entertainment"/>
        <s v="Restaurant"/>
        <s v="Taxi"/>
        <s v="Gifts"/>
        <s v="Gym"/>
        <s v="Phone"/>
        <s v="Doctor"/>
        <s v="Dividends"/>
        <s v="Furnishings"/>
        <s v="Ad Revenue"/>
        <s v="AirBnb Inc"/>
        <s v="Business Inc"/>
        <s v="Gift Contribution"/>
        <s v="Investment Inc"/>
        <s v="Rental Income"/>
        <s v="Bank fees &amp; Charges"/>
        <s v="Business Costs"/>
        <s v="Children"/>
        <s v="Christmas"/>
        <s v="Debt"/>
        <s v="First Fruits"/>
        <s v="Health &amp; Personal"/>
        <s v="Holidays"/>
        <s v="Home Insurance"/>
        <s v="Home/Rennovations"/>
        <s v="Investment/Property"/>
        <s v="Life Insurance"/>
        <s v="Long-term investments"/>
        <s v="Mortgage"/>
        <s v="MV Loan/Lease"/>
        <s v="Pension (LTS)"/>
        <s v="Pets"/>
        <s v="Savings (STS)"/>
        <s v="Restaurants"/>
        <s v="Tax Bill"/>
        <s v="Tithe"/>
        <s v="Travel &amp; Transport"/>
        <s v="Utilities (Gas/Elec/Wifi)"/>
        <s v="Vacation" u="1"/>
      </sharedItems>
    </cacheField>
    <cacheField name="Actual" numFmtId="0">
      <sharedItems containsString="0" containsBlank="1" containsNumber="1" minValue="-900" maxValue="4000"/>
    </cacheField>
    <cacheField name="Budget" numFmtId="0">
      <sharedItems containsString="0" containsBlank="1" containsNumber="1" containsInteger="1" minValue="-1250" maxValue="4450" count="17">
        <m/>
        <n v="4450"/>
        <n v="0"/>
        <n v="-5"/>
        <n v="-50"/>
        <n v="-100"/>
        <n v="-30"/>
        <n v="-40"/>
        <n v="-60"/>
        <n v="-20"/>
        <n v="-200"/>
        <n v="-55"/>
        <n v="-300"/>
        <n v="-45"/>
        <n v="-1250"/>
        <n v="-250"/>
        <n v="-650"/>
      </sharedItems>
    </cacheField>
    <cacheField name="Category" numFmtId="0">
      <sharedItems containsBlank="1" count="12">
        <s v="💰 Fixed"/>
        <s v="📉 Variable"/>
        <s v="🍴 Dining Out"/>
        <m/>
        <s v="🏠 Living Expenses"/>
        <s v="🚙 Transport"/>
        <s v="💳 Discretionary"/>
        <s v="🩺 Medical"/>
        <s v="🫱 Charity"/>
        <s v="💰 Variable"/>
        <s v="💳 Travelling"/>
        <s v="🚙 Variable"/>
      </sharedItems>
    </cacheField>
    <cacheField name="Category Type" numFmtId="0">
      <sharedItems containsBlank="1" count="4">
        <s v="Income"/>
        <s v="Expense"/>
        <m/>
        <s v="Income Surplus/(Deficit)" f="1"/>
      </sharedItems>
    </cacheField>
    <cacheField name="Year" numFmtId="0">
      <sharedItems containsSemiMixedTypes="0" containsString="0" containsNumber="1" containsInteger="1" minValue="2024" maxValue="2026" count="3">
        <n v="2026"/>
        <n v="2025" u="1"/>
        <n v="2024" u="1"/>
      </sharedItems>
    </cacheField>
    <cacheField name="Month" numFmtId="0">
      <sharedItems containsSemiMixedTypes="0" containsString="0" containsNumber="1" containsInteger="1" minValue="1" maxValue="12" count="12">
        <n v="1"/>
        <n v="2"/>
        <n v="3"/>
        <n v="4"/>
        <n v="5"/>
        <n v="6"/>
        <n v="7"/>
        <n v="8"/>
        <n v="9"/>
        <n v="10"/>
        <n v="11"/>
        <n v="12"/>
      </sharedItems>
    </cacheField>
    <cacheField name="Variance" numFmtId="0" formula="Actual-Budget" databaseField="0"/>
  </cacheFields>
  <calculatedItems count="1">
    <calculatedItem formula="'Category Type'[Income]+'Category Type'[Expense]">
      <pivotArea cacheIndex="1" outline="0" fieldPosition="0">
        <references count="1">
          <reference field="7" count="1">
            <x v="3"/>
          </reference>
        </references>
      </pivotArea>
    </calculatedItem>
  </calculatedItems>
  <extLst>
    <ext xmlns:x14="http://schemas.microsoft.com/office/spreadsheetml/2009/9/main" uri="{725AE2AE-9491-48be-B2B4-4EB974FC3084}">
      <x14:pivotCacheDefinition pivotCacheId="145633211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x v="0"/>
    <x v="0"/>
    <n v="300"/>
    <n v="650"/>
  </r>
  <r>
    <x v="0"/>
    <x v="1"/>
    <n v="300"/>
    <n v="650"/>
  </r>
  <r>
    <x v="0"/>
    <x v="2"/>
    <n v="300"/>
    <n v="200"/>
  </r>
  <r>
    <x v="1"/>
    <x v="0"/>
    <n v="0"/>
    <n v="650"/>
  </r>
  <r>
    <x v="1"/>
    <x v="1"/>
    <n v="300"/>
    <n v="650"/>
  </r>
  <r>
    <x v="1"/>
    <x v="2"/>
    <n v="100"/>
    <n v="200"/>
  </r>
  <r>
    <x v="2"/>
    <x v="0"/>
    <n v="400"/>
    <n v="650"/>
  </r>
  <r>
    <x v="2"/>
    <x v="1"/>
    <n v="350"/>
    <n v="650"/>
  </r>
  <r>
    <x v="2"/>
    <x v="2"/>
    <n v="100"/>
    <n v="200"/>
  </r>
  <r>
    <x v="3"/>
    <x v="0"/>
    <n v="-200"/>
    <n v="650"/>
  </r>
  <r>
    <x v="3"/>
    <x v="1"/>
    <n v="300"/>
    <n v="650"/>
  </r>
  <r>
    <x v="3"/>
    <x v="2"/>
    <n v="200"/>
    <n v="200"/>
  </r>
  <r>
    <x v="4"/>
    <x v="0"/>
    <n v="150"/>
    <n v="650"/>
  </r>
  <r>
    <x v="4"/>
    <x v="1"/>
    <n v="300"/>
    <n v="650"/>
  </r>
  <r>
    <x v="4"/>
    <x v="2"/>
    <n v="100"/>
    <n v="200"/>
  </r>
  <r>
    <x v="5"/>
    <x v="0"/>
    <n v="220"/>
    <n v="650"/>
  </r>
  <r>
    <x v="5"/>
    <x v="1"/>
    <n v="300"/>
    <n v="650"/>
  </r>
  <r>
    <x v="5"/>
    <x v="2"/>
    <n v="110"/>
    <n v="200"/>
  </r>
  <r>
    <x v="6"/>
    <x v="0"/>
    <n v="200"/>
    <n v="650"/>
  </r>
  <r>
    <x v="6"/>
    <x v="1"/>
    <n v="300"/>
    <n v="650"/>
  </r>
  <r>
    <x v="6"/>
    <x v="2"/>
    <n v="100"/>
    <n v="200"/>
  </r>
  <r>
    <x v="7"/>
    <x v="0"/>
    <n v="90"/>
    <n v="650"/>
  </r>
  <r>
    <x v="7"/>
    <x v="1"/>
    <n v="300"/>
    <n v="650"/>
  </r>
  <r>
    <x v="7"/>
    <x v="2"/>
    <n v="50"/>
    <n v="200"/>
  </r>
  <r>
    <x v="8"/>
    <x v="0"/>
    <n v="250"/>
    <n v="650"/>
  </r>
  <r>
    <x v="8"/>
    <x v="1"/>
    <n v="300"/>
    <n v="650"/>
  </r>
  <r>
    <x v="8"/>
    <x v="2"/>
    <n v="150"/>
    <n v="200"/>
  </r>
  <r>
    <x v="9"/>
    <x v="0"/>
    <n v="190"/>
    <n v="650"/>
  </r>
  <r>
    <x v="9"/>
    <x v="1"/>
    <n v="350"/>
    <n v="650"/>
  </r>
  <r>
    <x v="9"/>
    <x v="2"/>
    <n v="100"/>
    <n v="200"/>
  </r>
  <r>
    <x v="10"/>
    <x v="0"/>
    <n v="280"/>
    <n v="650"/>
  </r>
  <r>
    <x v="10"/>
    <x v="1"/>
    <n v="650"/>
    <n v="650"/>
  </r>
  <r>
    <x v="10"/>
    <x v="2"/>
    <n v="190"/>
    <n v="200"/>
  </r>
  <r>
    <x v="11"/>
    <x v="0"/>
    <n v="200"/>
    <n v="650"/>
  </r>
  <r>
    <x v="11"/>
    <x v="1"/>
    <n v="650"/>
    <n v="650"/>
  </r>
  <r>
    <x v="11"/>
    <x v="2"/>
    <n v="150"/>
    <n v="20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23000"/>
    <n v="0.22"/>
    <n v="12000"/>
    <n v="220"/>
    <n v="35000"/>
    <n v="0.52173913043478259"/>
  </r>
  <r>
    <x v="1"/>
    <n v="10000"/>
    <n v="0.19"/>
    <n v="2850"/>
    <n v="100"/>
    <n v="12850"/>
    <n v="0.28499999999999998"/>
  </r>
  <r>
    <x v="2"/>
    <n v="3000"/>
    <n v="0.24"/>
    <n v="1240"/>
    <n v="10"/>
    <n v="4240"/>
    <n v="0.41333333333333333"/>
  </r>
  <r>
    <x v="3"/>
    <n v="90000"/>
    <n v="0.06"/>
    <n v="25000"/>
    <n v="350"/>
    <n v="115000"/>
    <n v="0.27777777777777779"/>
  </r>
  <r>
    <x v="4"/>
    <n v="10000"/>
    <n v="0.05"/>
    <n v="2000"/>
    <n v="50"/>
    <n v="12000"/>
    <n v="0.2"/>
  </r>
  <r>
    <x v="5"/>
    <n v="18000"/>
    <n v="0.16"/>
    <n v="2500"/>
    <n v="390"/>
    <n v="20500"/>
    <n v="0.138888888888888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26">
  <r>
    <x v="0"/>
    <x v="0"/>
    <s v="ACME Pty Ltd"/>
    <x v="0"/>
    <n v="4000"/>
    <x v="0"/>
    <x v="0"/>
    <x v="0"/>
    <x v="0"/>
    <x v="0"/>
  </r>
  <r>
    <x v="1"/>
    <x v="1"/>
    <s v="Interest"/>
    <x v="1"/>
    <n v="35"/>
    <x v="0"/>
    <x v="1"/>
    <x v="0"/>
    <x v="0"/>
    <x v="0"/>
  </r>
  <r>
    <x v="2"/>
    <x v="0"/>
    <s v="Ground"/>
    <x v="2"/>
    <n v="-5"/>
    <x v="0"/>
    <x v="2"/>
    <x v="1"/>
    <x v="0"/>
    <x v="0"/>
  </r>
  <r>
    <x v="2"/>
    <x v="2"/>
    <s v="Ground"/>
    <x v="2"/>
    <n v="-5"/>
    <x v="0"/>
    <x v="2"/>
    <x v="1"/>
    <x v="0"/>
    <x v="0"/>
  </r>
  <r>
    <x v="2"/>
    <x v="3"/>
    <s v="Ground"/>
    <x v="2"/>
    <n v="-5"/>
    <x v="0"/>
    <x v="2"/>
    <x v="1"/>
    <x v="0"/>
    <x v="0"/>
  </r>
  <r>
    <x v="2"/>
    <x v="4"/>
    <s v="Ground"/>
    <x v="2"/>
    <n v="-5"/>
    <x v="0"/>
    <x v="2"/>
    <x v="1"/>
    <x v="0"/>
    <x v="0"/>
  </r>
  <r>
    <x v="2"/>
    <x v="5"/>
    <s v="Ground"/>
    <x v="2"/>
    <n v="-5"/>
    <x v="0"/>
    <x v="2"/>
    <x v="1"/>
    <x v="0"/>
    <x v="0"/>
  </r>
  <r>
    <x v="2"/>
    <x v="6"/>
    <s v="Ground"/>
    <x v="2"/>
    <n v="-5"/>
    <x v="0"/>
    <x v="2"/>
    <x v="1"/>
    <x v="0"/>
    <x v="0"/>
  </r>
  <r>
    <x v="2"/>
    <x v="7"/>
    <s v="Ground"/>
    <x v="2"/>
    <n v="-5"/>
    <x v="0"/>
    <x v="2"/>
    <x v="1"/>
    <x v="0"/>
    <x v="0"/>
  </r>
  <r>
    <x v="2"/>
    <x v="8"/>
    <s v="Ground"/>
    <x v="2"/>
    <n v="-5"/>
    <x v="0"/>
    <x v="2"/>
    <x v="1"/>
    <x v="0"/>
    <x v="0"/>
  </r>
  <r>
    <x v="2"/>
    <x v="9"/>
    <s v="Ground"/>
    <x v="2"/>
    <n v="-5"/>
    <x v="0"/>
    <x v="2"/>
    <x v="1"/>
    <x v="0"/>
    <x v="0"/>
  </r>
  <r>
    <x v="2"/>
    <x v="10"/>
    <s v="Ground"/>
    <x v="2"/>
    <n v="-5"/>
    <x v="0"/>
    <x v="2"/>
    <x v="1"/>
    <x v="0"/>
    <x v="0"/>
  </r>
  <r>
    <x v="2"/>
    <x v="11"/>
    <s v="Ground"/>
    <x v="2"/>
    <n v="-5"/>
    <x v="0"/>
    <x v="2"/>
    <x v="1"/>
    <x v="0"/>
    <x v="0"/>
  </r>
  <r>
    <x v="2"/>
    <x v="12"/>
    <s v="Ground"/>
    <x v="2"/>
    <n v="-5"/>
    <x v="0"/>
    <x v="2"/>
    <x v="1"/>
    <x v="0"/>
    <x v="0"/>
  </r>
  <r>
    <x v="2"/>
    <x v="13"/>
    <s v="Ground"/>
    <x v="2"/>
    <n v="-5"/>
    <x v="0"/>
    <x v="2"/>
    <x v="1"/>
    <x v="0"/>
    <x v="0"/>
  </r>
  <r>
    <x v="2"/>
    <x v="14"/>
    <s v="Ground"/>
    <x v="2"/>
    <n v="-5"/>
    <x v="0"/>
    <x v="2"/>
    <x v="1"/>
    <x v="0"/>
    <x v="0"/>
  </r>
  <r>
    <x v="2"/>
    <x v="15"/>
    <s v="Ground"/>
    <x v="2"/>
    <n v="-5"/>
    <x v="0"/>
    <x v="2"/>
    <x v="1"/>
    <x v="0"/>
    <x v="0"/>
  </r>
  <r>
    <x v="2"/>
    <x v="16"/>
    <s v="Ground"/>
    <x v="2"/>
    <n v="-5"/>
    <x v="0"/>
    <x v="2"/>
    <x v="1"/>
    <x v="0"/>
    <x v="0"/>
  </r>
  <r>
    <x v="2"/>
    <x v="17"/>
    <s v="Ground"/>
    <x v="2"/>
    <n v="-5"/>
    <x v="0"/>
    <x v="2"/>
    <x v="1"/>
    <x v="0"/>
    <x v="0"/>
  </r>
  <r>
    <x v="2"/>
    <x v="18"/>
    <s v="Ground"/>
    <x v="2"/>
    <n v="-5"/>
    <x v="0"/>
    <x v="2"/>
    <x v="1"/>
    <x v="0"/>
    <x v="0"/>
  </r>
  <r>
    <x v="2"/>
    <x v="19"/>
    <s v="Ground"/>
    <x v="2"/>
    <n v="-5"/>
    <x v="0"/>
    <x v="2"/>
    <x v="1"/>
    <x v="0"/>
    <x v="0"/>
  </r>
  <r>
    <x v="2"/>
    <x v="20"/>
    <s v="Ground"/>
    <x v="2"/>
    <n v="-5"/>
    <x v="0"/>
    <x v="2"/>
    <x v="1"/>
    <x v="0"/>
    <x v="0"/>
  </r>
  <r>
    <x v="2"/>
    <x v="21"/>
    <s v="Ground"/>
    <x v="2"/>
    <n v="-5"/>
    <x v="0"/>
    <x v="2"/>
    <x v="1"/>
    <x v="0"/>
    <x v="0"/>
  </r>
  <r>
    <x v="0"/>
    <x v="2"/>
    <s v="Estate Mgt."/>
    <x v="3"/>
    <n v="-900"/>
    <x v="0"/>
    <x v="3"/>
    <x v="2"/>
    <x v="0"/>
    <x v="0"/>
  </r>
  <r>
    <x v="0"/>
    <x v="2"/>
    <s v="Finance Co."/>
    <x v="4"/>
    <n v="-150"/>
    <x v="0"/>
    <x v="3"/>
    <x v="2"/>
    <x v="0"/>
    <x v="0"/>
  </r>
  <r>
    <x v="2"/>
    <x v="5"/>
    <s v="Green's"/>
    <x v="5"/>
    <n v="-155"/>
    <x v="0"/>
    <x v="4"/>
    <x v="1"/>
    <x v="0"/>
    <x v="0"/>
  </r>
  <r>
    <x v="2"/>
    <x v="10"/>
    <s v="Green's"/>
    <x v="5"/>
    <n v="-135"/>
    <x v="0"/>
    <x v="4"/>
    <x v="1"/>
    <x v="0"/>
    <x v="0"/>
  </r>
  <r>
    <x v="2"/>
    <x v="16"/>
    <s v="Green's"/>
    <x v="5"/>
    <n v="-170"/>
    <x v="0"/>
    <x v="4"/>
    <x v="1"/>
    <x v="0"/>
    <x v="0"/>
  </r>
  <r>
    <x v="2"/>
    <x v="21"/>
    <s v="Green's"/>
    <x v="5"/>
    <n v="-162"/>
    <x v="0"/>
    <x v="4"/>
    <x v="1"/>
    <x v="0"/>
    <x v="0"/>
  </r>
  <r>
    <x v="0"/>
    <x v="6"/>
    <s v="Elec. Co."/>
    <x v="6"/>
    <n v="100"/>
    <x v="0"/>
    <x v="3"/>
    <x v="2"/>
    <x v="0"/>
    <x v="0"/>
  </r>
  <r>
    <x v="2"/>
    <x v="8"/>
    <s v="Fuel. Co"/>
    <x v="7"/>
    <n v="-77"/>
    <x v="0"/>
    <x v="5"/>
    <x v="1"/>
    <x v="0"/>
    <x v="0"/>
  </r>
  <r>
    <x v="2"/>
    <x v="17"/>
    <s v="Fuel. Co"/>
    <x v="7"/>
    <n v="-63"/>
    <x v="0"/>
    <x v="5"/>
    <x v="1"/>
    <x v="0"/>
    <x v="0"/>
  </r>
  <r>
    <x v="2"/>
    <x v="11"/>
    <s v="Fashionistas"/>
    <x v="8"/>
    <n v="-98"/>
    <x v="0"/>
    <x v="6"/>
    <x v="1"/>
    <x v="0"/>
    <x v="0"/>
  </r>
  <r>
    <x v="2"/>
    <x v="22"/>
    <s v="Ted's Trainers"/>
    <x v="8"/>
    <n v="-125"/>
    <x v="0"/>
    <x v="6"/>
    <x v="1"/>
    <x v="0"/>
    <x v="0"/>
  </r>
  <r>
    <x v="0"/>
    <x v="13"/>
    <s v="Smile Dental"/>
    <x v="9"/>
    <n v="-154"/>
    <x v="0"/>
    <x v="7"/>
    <x v="1"/>
    <x v="0"/>
    <x v="0"/>
  </r>
  <r>
    <x v="0"/>
    <x v="17"/>
    <s v="Worldvision"/>
    <x v="10"/>
    <n v="-55"/>
    <x v="0"/>
    <x v="8"/>
    <x v="1"/>
    <x v="0"/>
    <x v="0"/>
  </r>
  <r>
    <x v="2"/>
    <x v="11"/>
    <s v="Event Cinemas"/>
    <x v="11"/>
    <n v="-40"/>
    <x v="0"/>
    <x v="6"/>
    <x v="1"/>
    <x v="0"/>
    <x v="0"/>
  </r>
  <r>
    <x v="2"/>
    <x v="14"/>
    <s v="Streaming Co."/>
    <x v="11"/>
    <n v="-32"/>
    <x v="0"/>
    <x v="6"/>
    <x v="1"/>
    <x v="0"/>
    <x v="0"/>
  </r>
  <r>
    <x v="2"/>
    <x v="22"/>
    <s v="Ticketek"/>
    <x v="11"/>
    <n v="-175"/>
    <x v="0"/>
    <x v="6"/>
    <x v="1"/>
    <x v="0"/>
    <x v="0"/>
  </r>
  <r>
    <x v="2"/>
    <x v="11"/>
    <s v="Joe's Grill"/>
    <x v="12"/>
    <n v="-52"/>
    <x v="0"/>
    <x v="3"/>
    <x v="2"/>
    <x v="0"/>
    <x v="0"/>
  </r>
  <r>
    <x v="2"/>
    <x v="23"/>
    <s v="Pizza Pomodoro"/>
    <x v="12"/>
    <n v="-37"/>
    <x v="0"/>
    <x v="3"/>
    <x v="2"/>
    <x v="0"/>
    <x v="0"/>
  </r>
  <r>
    <x v="2"/>
    <x v="24"/>
    <s v="Golden Arches"/>
    <x v="12"/>
    <n v="-12"/>
    <x v="0"/>
    <x v="3"/>
    <x v="2"/>
    <x v="0"/>
    <x v="0"/>
  </r>
  <r>
    <x v="2"/>
    <x v="25"/>
    <s v="Taxi Co."/>
    <x v="13"/>
    <n v="-28"/>
    <x v="0"/>
    <x v="3"/>
    <x v="2"/>
    <x v="0"/>
    <x v="0"/>
  </r>
  <r>
    <x v="2"/>
    <x v="14"/>
    <s v="Sam's Gifts"/>
    <x v="14"/>
    <n v="-45"/>
    <x v="0"/>
    <x v="6"/>
    <x v="1"/>
    <x v="0"/>
    <x v="0"/>
  </r>
  <r>
    <x v="0"/>
    <x v="12"/>
    <s v="Muscle Beach"/>
    <x v="15"/>
    <n v="-30"/>
    <x v="0"/>
    <x v="6"/>
    <x v="1"/>
    <x v="0"/>
    <x v="0"/>
  </r>
  <r>
    <x v="0"/>
    <x v="13"/>
    <s v="Phone Co."/>
    <x v="16"/>
    <n v="-40"/>
    <x v="0"/>
    <x v="4"/>
    <x v="1"/>
    <x v="0"/>
    <x v="0"/>
  </r>
  <r>
    <x v="2"/>
    <x v="26"/>
    <s v="Fashionistas"/>
    <x v="8"/>
    <n v="-145"/>
    <x v="0"/>
    <x v="6"/>
    <x v="1"/>
    <x v="0"/>
    <x v="0"/>
  </r>
  <r>
    <x v="2"/>
    <x v="26"/>
    <s v="Taxi Co."/>
    <x v="13"/>
    <n v="-23"/>
    <x v="0"/>
    <x v="3"/>
    <x v="2"/>
    <x v="0"/>
    <x v="0"/>
  </r>
  <r>
    <x v="1"/>
    <x v="27"/>
    <s v="Interest"/>
    <x v="1"/>
    <n v="36"/>
    <x v="0"/>
    <x v="1"/>
    <x v="0"/>
    <x v="0"/>
    <x v="1"/>
  </r>
  <r>
    <x v="0"/>
    <x v="27"/>
    <s v="ACME Pty Ltd"/>
    <x v="0"/>
    <n v="4000"/>
    <x v="0"/>
    <x v="0"/>
    <x v="0"/>
    <x v="0"/>
    <x v="1"/>
  </r>
  <r>
    <x v="2"/>
    <x v="27"/>
    <s v="Ground"/>
    <x v="2"/>
    <n v="-5"/>
    <x v="0"/>
    <x v="2"/>
    <x v="1"/>
    <x v="0"/>
    <x v="1"/>
  </r>
  <r>
    <x v="0"/>
    <x v="28"/>
    <s v="Estate Mgt."/>
    <x v="3"/>
    <n v="-900"/>
    <x v="0"/>
    <x v="3"/>
    <x v="2"/>
    <x v="0"/>
    <x v="1"/>
  </r>
  <r>
    <x v="0"/>
    <x v="28"/>
    <s v="Finance Co."/>
    <x v="4"/>
    <n v="-150"/>
    <x v="0"/>
    <x v="3"/>
    <x v="2"/>
    <x v="0"/>
    <x v="1"/>
  </r>
  <r>
    <x v="2"/>
    <x v="28"/>
    <s v="Ground"/>
    <x v="2"/>
    <n v="-5"/>
    <x v="0"/>
    <x v="2"/>
    <x v="1"/>
    <x v="0"/>
    <x v="1"/>
  </r>
  <r>
    <x v="2"/>
    <x v="29"/>
    <s v="Ground"/>
    <x v="2"/>
    <n v="-5"/>
    <x v="0"/>
    <x v="2"/>
    <x v="1"/>
    <x v="0"/>
    <x v="1"/>
  </r>
  <r>
    <x v="2"/>
    <x v="30"/>
    <s v="Ground"/>
    <x v="2"/>
    <n v="-5"/>
    <x v="0"/>
    <x v="2"/>
    <x v="1"/>
    <x v="0"/>
    <x v="1"/>
  </r>
  <r>
    <x v="2"/>
    <x v="31"/>
    <s v="Ground"/>
    <x v="2"/>
    <n v="-5"/>
    <x v="0"/>
    <x v="2"/>
    <x v="1"/>
    <x v="0"/>
    <x v="1"/>
  </r>
  <r>
    <x v="2"/>
    <x v="31"/>
    <s v="Green's"/>
    <x v="5"/>
    <n v="-205"/>
    <x v="0"/>
    <x v="4"/>
    <x v="1"/>
    <x v="0"/>
    <x v="1"/>
  </r>
  <r>
    <x v="0"/>
    <x v="32"/>
    <s v="Elec. Co."/>
    <x v="6"/>
    <n v="-51.1"/>
    <x v="0"/>
    <x v="3"/>
    <x v="2"/>
    <x v="0"/>
    <x v="1"/>
  </r>
  <r>
    <x v="2"/>
    <x v="32"/>
    <s v="Ground"/>
    <x v="2"/>
    <n v="-5"/>
    <x v="0"/>
    <x v="2"/>
    <x v="1"/>
    <x v="0"/>
    <x v="1"/>
  </r>
  <r>
    <x v="2"/>
    <x v="33"/>
    <s v="Ground"/>
    <x v="2"/>
    <n v="-5"/>
    <x v="0"/>
    <x v="2"/>
    <x v="1"/>
    <x v="0"/>
    <x v="1"/>
  </r>
  <r>
    <x v="2"/>
    <x v="34"/>
    <s v="Fuel. Co"/>
    <x v="7"/>
    <n v="-78"/>
    <x v="0"/>
    <x v="5"/>
    <x v="1"/>
    <x v="0"/>
    <x v="1"/>
  </r>
  <r>
    <x v="2"/>
    <x v="34"/>
    <s v="Ground"/>
    <x v="2"/>
    <n v="-5"/>
    <x v="0"/>
    <x v="2"/>
    <x v="1"/>
    <x v="0"/>
    <x v="1"/>
  </r>
  <r>
    <x v="2"/>
    <x v="35"/>
    <s v="Ground"/>
    <x v="2"/>
    <n v="-5"/>
    <x v="0"/>
    <x v="2"/>
    <x v="1"/>
    <x v="0"/>
    <x v="1"/>
  </r>
  <r>
    <x v="2"/>
    <x v="36"/>
    <s v="Green's"/>
    <x v="5"/>
    <n v="-135.9"/>
    <x v="0"/>
    <x v="4"/>
    <x v="1"/>
    <x v="0"/>
    <x v="1"/>
  </r>
  <r>
    <x v="2"/>
    <x v="36"/>
    <s v="Ground"/>
    <x v="2"/>
    <n v="-5"/>
    <x v="0"/>
    <x v="2"/>
    <x v="1"/>
    <x v="0"/>
    <x v="1"/>
  </r>
  <r>
    <x v="2"/>
    <x v="37"/>
    <s v="Ground"/>
    <x v="2"/>
    <n v="-5"/>
    <x v="0"/>
    <x v="2"/>
    <x v="1"/>
    <x v="0"/>
    <x v="1"/>
  </r>
  <r>
    <x v="2"/>
    <x v="37"/>
    <s v="Event Cinemas"/>
    <x v="11"/>
    <n v="-40.9"/>
    <x v="0"/>
    <x v="6"/>
    <x v="1"/>
    <x v="0"/>
    <x v="1"/>
  </r>
  <r>
    <x v="2"/>
    <x v="37"/>
    <s v="Fashionistas"/>
    <x v="8"/>
    <n v="-99"/>
    <x v="0"/>
    <x v="6"/>
    <x v="1"/>
    <x v="0"/>
    <x v="1"/>
  </r>
  <r>
    <x v="2"/>
    <x v="37"/>
    <s v="Joe's Grill"/>
    <x v="12"/>
    <n v="-53"/>
    <x v="0"/>
    <x v="3"/>
    <x v="2"/>
    <x v="0"/>
    <x v="1"/>
  </r>
  <r>
    <x v="2"/>
    <x v="38"/>
    <s v="Taxi Co."/>
    <x v="13"/>
    <n v="-28.9"/>
    <x v="0"/>
    <x v="3"/>
    <x v="2"/>
    <x v="0"/>
    <x v="1"/>
  </r>
  <r>
    <x v="0"/>
    <x v="39"/>
    <s v="Muscle Beach"/>
    <x v="15"/>
    <n v="-30"/>
    <x v="0"/>
    <x v="6"/>
    <x v="1"/>
    <x v="0"/>
    <x v="1"/>
  </r>
  <r>
    <x v="2"/>
    <x v="39"/>
    <s v="Ground"/>
    <x v="2"/>
    <n v="-5"/>
    <x v="0"/>
    <x v="2"/>
    <x v="1"/>
    <x v="0"/>
    <x v="1"/>
  </r>
  <r>
    <x v="2"/>
    <x v="40"/>
    <s v="Ground"/>
    <x v="2"/>
    <n v="-5"/>
    <x v="0"/>
    <x v="2"/>
    <x v="1"/>
    <x v="0"/>
    <x v="1"/>
  </r>
  <r>
    <x v="0"/>
    <x v="40"/>
    <s v="Phone Co."/>
    <x v="16"/>
    <n v="-40"/>
    <x v="0"/>
    <x v="4"/>
    <x v="1"/>
    <x v="0"/>
    <x v="1"/>
  </r>
  <r>
    <x v="2"/>
    <x v="41"/>
    <s v="Sam's Gifts"/>
    <x v="14"/>
    <n v="-45.9"/>
    <x v="0"/>
    <x v="6"/>
    <x v="1"/>
    <x v="0"/>
    <x v="1"/>
  </r>
  <r>
    <x v="2"/>
    <x v="41"/>
    <s v="Streaming Co."/>
    <x v="11"/>
    <n v="-35"/>
    <x v="0"/>
    <x v="6"/>
    <x v="1"/>
    <x v="0"/>
    <x v="1"/>
  </r>
  <r>
    <x v="2"/>
    <x v="41"/>
    <s v="Ground"/>
    <x v="2"/>
    <n v="-5"/>
    <x v="0"/>
    <x v="2"/>
    <x v="1"/>
    <x v="0"/>
    <x v="1"/>
  </r>
  <r>
    <x v="2"/>
    <x v="42"/>
    <s v="Ground"/>
    <x v="2"/>
    <n v="-5"/>
    <x v="0"/>
    <x v="2"/>
    <x v="1"/>
    <x v="0"/>
    <x v="1"/>
  </r>
  <r>
    <x v="2"/>
    <x v="43"/>
    <s v="Ground"/>
    <x v="2"/>
    <n v="-5"/>
    <x v="0"/>
    <x v="2"/>
    <x v="1"/>
    <x v="0"/>
    <x v="1"/>
  </r>
  <r>
    <x v="2"/>
    <x v="43"/>
    <s v="Green's"/>
    <x v="5"/>
    <n v="-171"/>
    <x v="0"/>
    <x v="4"/>
    <x v="1"/>
    <x v="0"/>
    <x v="1"/>
  </r>
  <r>
    <x v="2"/>
    <x v="44"/>
    <s v="Pizza Pomodoro"/>
    <x v="12"/>
    <n v="-37.9"/>
    <x v="0"/>
    <x v="3"/>
    <x v="2"/>
    <x v="0"/>
    <x v="1"/>
  </r>
  <r>
    <x v="2"/>
    <x v="45"/>
    <s v="Golden Arches"/>
    <x v="12"/>
    <n v="-12.9"/>
    <x v="0"/>
    <x v="3"/>
    <x v="2"/>
    <x v="0"/>
    <x v="1"/>
  </r>
  <r>
    <x v="0"/>
    <x v="46"/>
    <s v="Worldvision"/>
    <x v="10"/>
    <n v="-55"/>
    <x v="0"/>
    <x v="8"/>
    <x v="1"/>
    <x v="0"/>
    <x v="1"/>
  </r>
  <r>
    <x v="2"/>
    <x v="46"/>
    <s v="Fuel. Co"/>
    <x v="7"/>
    <n v="-64.099999999999994"/>
    <x v="0"/>
    <x v="5"/>
    <x v="1"/>
    <x v="0"/>
    <x v="1"/>
  </r>
  <r>
    <x v="2"/>
    <x v="46"/>
    <s v="Ground"/>
    <x v="2"/>
    <n v="-5"/>
    <x v="0"/>
    <x v="2"/>
    <x v="1"/>
    <x v="0"/>
    <x v="1"/>
  </r>
  <r>
    <x v="2"/>
    <x v="47"/>
    <s v="Ground"/>
    <x v="2"/>
    <n v="-5"/>
    <x v="0"/>
    <x v="2"/>
    <x v="1"/>
    <x v="0"/>
    <x v="1"/>
  </r>
  <r>
    <x v="2"/>
    <x v="48"/>
    <s v="Ground"/>
    <x v="2"/>
    <n v="-5"/>
    <x v="0"/>
    <x v="2"/>
    <x v="1"/>
    <x v="0"/>
    <x v="1"/>
  </r>
  <r>
    <x v="2"/>
    <x v="49"/>
    <s v="Ground"/>
    <x v="2"/>
    <n v="-5"/>
    <x v="0"/>
    <x v="2"/>
    <x v="1"/>
    <x v="0"/>
    <x v="1"/>
  </r>
  <r>
    <x v="2"/>
    <x v="50"/>
    <s v="Ground"/>
    <x v="2"/>
    <n v="-5"/>
    <x v="0"/>
    <x v="2"/>
    <x v="1"/>
    <x v="0"/>
    <x v="1"/>
  </r>
  <r>
    <x v="2"/>
    <x v="50"/>
    <s v="Green's"/>
    <x v="5"/>
    <n v="-162.9"/>
    <x v="0"/>
    <x v="4"/>
    <x v="1"/>
    <x v="0"/>
    <x v="1"/>
  </r>
  <r>
    <x v="2"/>
    <x v="51"/>
    <s v="Ted's Trainers"/>
    <x v="8"/>
    <n v="-125.9"/>
    <x v="0"/>
    <x v="6"/>
    <x v="1"/>
    <x v="0"/>
    <x v="1"/>
  </r>
  <r>
    <x v="2"/>
    <x v="51"/>
    <s v="Global Fashion"/>
    <x v="8"/>
    <n v="-137"/>
    <x v="0"/>
    <x v="6"/>
    <x v="1"/>
    <x v="0"/>
    <x v="1"/>
  </r>
  <r>
    <x v="2"/>
    <x v="52"/>
    <s v="Fashionistas"/>
    <x v="8"/>
    <n v="-146.1"/>
    <x v="0"/>
    <x v="6"/>
    <x v="1"/>
    <x v="0"/>
    <x v="1"/>
  </r>
  <r>
    <x v="2"/>
    <x v="52"/>
    <s v="Taxi Co."/>
    <x v="13"/>
    <n v="-24.1"/>
    <x v="0"/>
    <x v="3"/>
    <x v="2"/>
    <x v="0"/>
    <x v="1"/>
  </r>
  <r>
    <x v="0"/>
    <x v="53"/>
    <s v="ACME Pty Ltd"/>
    <x v="0"/>
    <n v="4000"/>
    <x v="0"/>
    <x v="0"/>
    <x v="0"/>
    <x v="0"/>
    <x v="2"/>
  </r>
  <r>
    <x v="1"/>
    <x v="53"/>
    <s v="Interest"/>
    <x v="1"/>
    <n v="37"/>
    <x v="0"/>
    <x v="1"/>
    <x v="0"/>
    <x v="0"/>
    <x v="2"/>
  </r>
  <r>
    <x v="2"/>
    <x v="53"/>
    <s v="Ground"/>
    <x v="2"/>
    <n v="-5"/>
    <x v="0"/>
    <x v="2"/>
    <x v="1"/>
    <x v="0"/>
    <x v="2"/>
  </r>
  <r>
    <x v="0"/>
    <x v="54"/>
    <s v="Estate Mgt."/>
    <x v="3"/>
    <n v="-900"/>
    <x v="0"/>
    <x v="3"/>
    <x v="2"/>
    <x v="0"/>
    <x v="2"/>
  </r>
  <r>
    <x v="0"/>
    <x v="54"/>
    <s v="Finance Co."/>
    <x v="4"/>
    <n v="-150"/>
    <x v="0"/>
    <x v="3"/>
    <x v="2"/>
    <x v="0"/>
    <x v="2"/>
  </r>
  <r>
    <x v="2"/>
    <x v="54"/>
    <s v="Ground"/>
    <x v="2"/>
    <n v="-5"/>
    <x v="0"/>
    <x v="2"/>
    <x v="1"/>
    <x v="0"/>
    <x v="2"/>
  </r>
  <r>
    <x v="2"/>
    <x v="55"/>
    <s v="Ground"/>
    <x v="2"/>
    <n v="-5"/>
    <x v="0"/>
    <x v="2"/>
    <x v="1"/>
    <x v="0"/>
    <x v="2"/>
  </r>
  <r>
    <x v="2"/>
    <x v="56"/>
    <s v="Ground"/>
    <x v="2"/>
    <n v="-5"/>
    <x v="0"/>
    <x v="2"/>
    <x v="1"/>
    <x v="0"/>
    <x v="2"/>
  </r>
  <r>
    <x v="2"/>
    <x v="57"/>
    <s v="Ground"/>
    <x v="2"/>
    <n v="-5"/>
    <x v="0"/>
    <x v="2"/>
    <x v="1"/>
    <x v="0"/>
    <x v="2"/>
  </r>
  <r>
    <x v="2"/>
    <x v="57"/>
    <s v="Green's"/>
    <x v="5"/>
    <n v="-149"/>
    <x v="0"/>
    <x v="4"/>
    <x v="1"/>
    <x v="0"/>
    <x v="2"/>
  </r>
  <r>
    <x v="0"/>
    <x v="58"/>
    <s v="Elec. Co."/>
    <x v="6"/>
    <n v="-52.1"/>
    <x v="0"/>
    <x v="3"/>
    <x v="2"/>
    <x v="0"/>
    <x v="2"/>
  </r>
  <r>
    <x v="2"/>
    <x v="58"/>
    <s v="Ground"/>
    <x v="2"/>
    <n v="-5"/>
    <x v="0"/>
    <x v="2"/>
    <x v="1"/>
    <x v="0"/>
    <x v="2"/>
  </r>
  <r>
    <x v="2"/>
    <x v="59"/>
    <s v="Ground"/>
    <x v="2"/>
    <n v="-5"/>
    <x v="0"/>
    <x v="2"/>
    <x v="1"/>
    <x v="0"/>
    <x v="2"/>
  </r>
  <r>
    <x v="2"/>
    <x v="60"/>
    <s v="Fuel. Co"/>
    <x v="7"/>
    <n v="-78.900000000000006"/>
    <x v="0"/>
    <x v="5"/>
    <x v="1"/>
    <x v="0"/>
    <x v="2"/>
  </r>
  <r>
    <x v="2"/>
    <x v="60"/>
    <s v="Ground"/>
    <x v="2"/>
    <n v="-5"/>
    <x v="0"/>
    <x v="2"/>
    <x v="1"/>
    <x v="0"/>
    <x v="2"/>
  </r>
  <r>
    <x v="2"/>
    <x v="61"/>
    <s v="Ground"/>
    <x v="2"/>
    <n v="-5"/>
    <x v="0"/>
    <x v="2"/>
    <x v="1"/>
    <x v="0"/>
    <x v="2"/>
  </r>
  <r>
    <x v="2"/>
    <x v="62"/>
    <s v="Green's"/>
    <x v="5"/>
    <n v="-137"/>
    <x v="0"/>
    <x v="4"/>
    <x v="1"/>
    <x v="0"/>
    <x v="2"/>
  </r>
  <r>
    <x v="2"/>
    <x v="62"/>
    <s v="Ground"/>
    <x v="2"/>
    <n v="-5"/>
    <x v="0"/>
    <x v="2"/>
    <x v="1"/>
    <x v="0"/>
    <x v="2"/>
  </r>
  <r>
    <x v="2"/>
    <x v="63"/>
    <s v="Ground"/>
    <x v="2"/>
    <n v="-5"/>
    <x v="0"/>
    <x v="2"/>
    <x v="1"/>
    <x v="0"/>
    <x v="2"/>
  </r>
  <r>
    <x v="2"/>
    <x v="63"/>
    <s v="Event Cinemas"/>
    <x v="11"/>
    <n v="-41.8"/>
    <x v="0"/>
    <x v="6"/>
    <x v="1"/>
    <x v="0"/>
    <x v="2"/>
  </r>
  <r>
    <x v="2"/>
    <x v="63"/>
    <s v="Fashionistas"/>
    <x v="8"/>
    <n v="-99.9"/>
    <x v="0"/>
    <x v="6"/>
    <x v="1"/>
    <x v="0"/>
    <x v="2"/>
  </r>
  <r>
    <x v="2"/>
    <x v="63"/>
    <s v="Joe's Grill"/>
    <x v="12"/>
    <n v="-54"/>
    <x v="0"/>
    <x v="3"/>
    <x v="2"/>
    <x v="0"/>
    <x v="2"/>
  </r>
  <r>
    <x v="2"/>
    <x v="64"/>
    <s v="Taxi Co."/>
    <x v="13"/>
    <n v="-30"/>
    <x v="0"/>
    <x v="3"/>
    <x v="2"/>
    <x v="0"/>
    <x v="2"/>
  </r>
  <r>
    <x v="0"/>
    <x v="65"/>
    <s v="Muscle Beach"/>
    <x v="15"/>
    <n v="-30"/>
    <x v="0"/>
    <x v="6"/>
    <x v="1"/>
    <x v="0"/>
    <x v="2"/>
  </r>
  <r>
    <x v="2"/>
    <x v="65"/>
    <s v="Ground"/>
    <x v="2"/>
    <n v="-5"/>
    <x v="0"/>
    <x v="2"/>
    <x v="1"/>
    <x v="0"/>
    <x v="2"/>
  </r>
  <r>
    <x v="2"/>
    <x v="66"/>
    <s v="Ground"/>
    <x v="2"/>
    <n v="-5"/>
    <x v="0"/>
    <x v="2"/>
    <x v="1"/>
    <x v="0"/>
    <x v="2"/>
  </r>
  <r>
    <x v="0"/>
    <x v="66"/>
    <s v="Village Medical"/>
    <x v="17"/>
    <n v="-75"/>
    <x v="0"/>
    <x v="7"/>
    <x v="1"/>
    <x v="0"/>
    <x v="2"/>
  </r>
  <r>
    <x v="0"/>
    <x v="66"/>
    <s v="Phone Co."/>
    <x v="16"/>
    <n v="-40"/>
    <x v="0"/>
    <x v="4"/>
    <x v="1"/>
    <x v="0"/>
    <x v="2"/>
  </r>
  <r>
    <x v="2"/>
    <x v="67"/>
    <s v="Sam's Gifts"/>
    <x v="14"/>
    <n v="-46.8"/>
    <x v="0"/>
    <x v="6"/>
    <x v="1"/>
    <x v="0"/>
    <x v="2"/>
  </r>
  <r>
    <x v="2"/>
    <x v="67"/>
    <s v="Streaming Co."/>
    <x v="11"/>
    <n v="-35"/>
    <x v="0"/>
    <x v="6"/>
    <x v="1"/>
    <x v="0"/>
    <x v="2"/>
  </r>
  <r>
    <x v="2"/>
    <x v="67"/>
    <s v="Ground"/>
    <x v="2"/>
    <n v="-5"/>
    <x v="0"/>
    <x v="2"/>
    <x v="1"/>
    <x v="0"/>
    <x v="2"/>
  </r>
  <r>
    <x v="2"/>
    <x v="68"/>
    <s v="Ground"/>
    <x v="2"/>
    <n v="-5"/>
    <x v="0"/>
    <x v="2"/>
    <x v="1"/>
    <x v="0"/>
    <x v="2"/>
  </r>
  <r>
    <x v="2"/>
    <x v="69"/>
    <s v="Ground"/>
    <x v="2"/>
    <n v="-5"/>
    <x v="0"/>
    <x v="2"/>
    <x v="1"/>
    <x v="0"/>
    <x v="2"/>
  </r>
  <r>
    <x v="2"/>
    <x v="69"/>
    <s v="Green's"/>
    <x v="5"/>
    <n v="-171.9"/>
    <x v="0"/>
    <x v="4"/>
    <x v="1"/>
    <x v="0"/>
    <x v="2"/>
  </r>
  <r>
    <x v="2"/>
    <x v="70"/>
    <s v="Pizza Pomodoro"/>
    <x v="12"/>
    <n v="-39"/>
    <x v="0"/>
    <x v="3"/>
    <x v="2"/>
    <x v="0"/>
    <x v="2"/>
  </r>
  <r>
    <x v="2"/>
    <x v="71"/>
    <s v="Golden Arches"/>
    <x v="12"/>
    <n v="-14"/>
    <x v="0"/>
    <x v="3"/>
    <x v="2"/>
    <x v="0"/>
    <x v="2"/>
  </r>
  <r>
    <x v="0"/>
    <x v="72"/>
    <s v="Worldvision"/>
    <x v="10"/>
    <n v="-55"/>
    <x v="0"/>
    <x v="8"/>
    <x v="1"/>
    <x v="0"/>
    <x v="2"/>
  </r>
  <r>
    <x v="2"/>
    <x v="72"/>
    <s v="Fuel. Co"/>
    <x v="7"/>
    <n v="-65"/>
    <x v="0"/>
    <x v="5"/>
    <x v="1"/>
    <x v="0"/>
    <x v="2"/>
  </r>
  <r>
    <x v="2"/>
    <x v="72"/>
    <s v="Ground"/>
    <x v="2"/>
    <n v="-5"/>
    <x v="0"/>
    <x v="2"/>
    <x v="1"/>
    <x v="0"/>
    <x v="2"/>
  </r>
  <r>
    <x v="2"/>
    <x v="73"/>
    <s v="Ground"/>
    <x v="2"/>
    <n v="-5"/>
    <x v="0"/>
    <x v="2"/>
    <x v="1"/>
    <x v="0"/>
    <x v="2"/>
  </r>
  <r>
    <x v="2"/>
    <x v="74"/>
    <s v="Ground"/>
    <x v="2"/>
    <n v="-5"/>
    <x v="0"/>
    <x v="2"/>
    <x v="1"/>
    <x v="0"/>
    <x v="2"/>
  </r>
  <r>
    <x v="2"/>
    <x v="75"/>
    <s v="Ground"/>
    <x v="2"/>
    <n v="-5"/>
    <x v="0"/>
    <x v="2"/>
    <x v="1"/>
    <x v="0"/>
    <x v="2"/>
  </r>
  <r>
    <x v="2"/>
    <x v="76"/>
    <s v="Ground"/>
    <x v="2"/>
    <n v="-5"/>
    <x v="0"/>
    <x v="2"/>
    <x v="1"/>
    <x v="0"/>
    <x v="2"/>
  </r>
  <r>
    <x v="2"/>
    <x v="76"/>
    <s v="Green's"/>
    <x v="5"/>
    <n v="-209"/>
    <x v="0"/>
    <x v="4"/>
    <x v="1"/>
    <x v="0"/>
    <x v="2"/>
  </r>
  <r>
    <x v="2"/>
    <x v="77"/>
    <s v="Ted's Trainers"/>
    <x v="8"/>
    <n v="-127"/>
    <x v="0"/>
    <x v="6"/>
    <x v="1"/>
    <x v="0"/>
    <x v="2"/>
  </r>
  <r>
    <x v="2"/>
    <x v="77"/>
    <s v="Sports Co."/>
    <x v="8"/>
    <n v="-177.2"/>
    <x v="0"/>
    <x v="6"/>
    <x v="1"/>
    <x v="0"/>
    <x v="2"/>
  </r>
  <r>
    <x v="2"/>
    <x v="78"/>
    <s v="Fashionistas"/>
    <x v="8"/>
    <n v="-147.1"/>
    <x v="0"/>
    <x v="6"/>
    <x v="1"/>
    <x v="0"/>
    <x v="2"/>
  </r>
  <r>
    <x v="2"/>
    <x v="78"/>
    <s v="Taxi Co."/>
    <x v="13"/>
    <n v="-25"/>
    <x v="0"/>
    <x v="3"/>
    <x v="2"/>
    <x v="0"/>
    <x v="2"/>
  </r>
  <r>
    <x v="2"/>
    <x v="79"/>
    <s v="Foodary"/>
    <x v="12"/>
    <n v="-15"/>
    <x v="0"/>
    <x v="3"/>
    <x v="2"/>
    <x v="0"/>
    <x v="2"/>
  </r>
  <r>
    <x v="2"/>
    <x v="80"/>
    <s v="Ground"/>
    <x v="2"/>
    <n v="-5"/>
    <x v="0"/>
    <x v="2"/>
    <x v="1"/>
    <x v="0"/>
    <x v="2"/>
  </r>
  <r>
    <x v="2"/>
    <x v="81"/>
    <s v="Ground"/>
    <x v="2"/>
    <n v="-5"/>
    <x v="0"/>
    <x v="2"/>
    <x v="1"/>
    <x v="0"/>
    <x v="2"/>
  </r>
  <r>
    <x v="0"/>
    <x v="81"/>
    <s v="Amoogle"/>
    <x v="18"/>
    <n v="1350"/>
    <x v="0"/>
    <x v="1"/>
    <x v="0"/>
    <x v="0"/>
    <x v="2"/>
  </r>
  <r>
    <x v="0"/>
    <x v="82"/>
    <s v="ACME Pty Ltd"/>
    <x v="0"/>
    <n v="4000"/>
    <x v="0"/>
    <x v="0"/>
    <x v="0"/>
    <x v="0"/>
    <x v="3"/>
  </r>
  <r>
    <x v="1"/>
    <x v="82"/>
    <s v="Interest"/>
    <x v="1"/>
    <n v="38"/>
    <x v="0"/>
    <x v="1"/>
    <x v="0"/>
    <x v="0"/>
    <x v="3"/>
  </r>
  <r>
    <x v="2"/>
    <x v="82"/>
    <s v="Ground"/>
    <x v="2"/>
    <n v="-5"/>
    <x v="0"/>
    <x v="2"/>
    <x v="1"/>
    <x v="0"/>
    <x v="3"/>
  </r>
  <r>
    <x v="0"/>
    <x v="83"/>
    <s v="Estate Mgt."/>
    <x v="3"/>
    <n v="-900"/>
    <x v="0"/>
    <x v="3"/>
    <x v="2"/>
    <x v="0"/>
    <x v="3"/>
  </r>
  <r>
    <x v="0"/>
    <x v="83"/>
    <s v="Finance Co."/>
    <x v="4"/>
    <n v="-150"/>
    <x v="0"/>
    <x v="3"/>
    <x v="2"/>
    <x v="0"/>
    <x v="3"/>
  </r>
  <r>
    <x v="2"/>
    <x v="83"/>
    <s v="Ground"/>
    <x v="2"/>
    <n v="-5"/>
    <x v="0"/>
    <x v="2"/>
    <x v="1"/>
    <x v="0"/>
    <x v="3"/>
  </r>
  <r>
    <x v="2"/>
    <x v="84"/>
    <s v="Ground"/>
    <x v="2"/>
    <n v="-5"/>
    <x v="0"/>
    <x v="2"/>
    <x v="1"/>
    <x v="0"/>
    <x v="3"/>
  </r>
  <r>
    <x v="2"/>
    <x v="85"/>
    <s v="Ground"/>
    <x v="2"/>
    <n v="-5"/>
    <x v="0"/>
    <x v="2"/>
    <x v="1"/>
    <x v="0"/>
    <x v="3"/>
  </r>
  <r>
    <x v="2"/>
    <x v="86"/>
    <s v="Ground"/>
    <x v="2"/>
    <n v="-5"/>
    <x v="0"/>
    <x v="2"/>
    <x v="1"/>
    <x v="0"/>
    <x v="3"/>
  </r>
  <r>
    <x v="2"/>
    <x v="86"/>
    <s v="Green's"/>
    <x v="5"/>
    <n v="-158.19999999999999"/>
    <x v="0"/>
    <x v="4"/>
    <x v="1"/>
    <x v="0"/>
    <x v="3"/>
  </r>
  <r>
    <x v="0"/>
    <x v="87"/>
    <s v="Elec. Co."/>
    <x v="6"/>
    <n v="-53.2"/>
    <x v="0"/>
    <x v="3"/>
    <x v="2"/>
    <x v="0"/>
    <x v="3"/>
  </r>
  <r>
    <x v="2"/>
    <x v="87"/>
    <s v="Ground"/>
    <x v="2"/>
    <n v="-5"/>
    <x v="0"/>
    <x v="2"/>
    <x v="1"/>
    <x v="0"/>
    <x v="3"/>
  </r>
  <r>
    <x v="2"/>
    <x v="88"/>
    <s v="Ground"/>
    <x v="2"/>
    <n v="-5"/>
    <x v="0"/>
    <x v="2"/>
    <x v="1"/>
    <x v="0"/>
    <x v="3"/>
  </r>
  <r>
    <x v="2"/>
    <x v="89"/>
    <s v="Fuel. Co"/>
    <x v="7"/>
    <n v="-79.900000000000006"/>
    <x v="0"/>
    <x v="5"/>
    <x v="1"/>
    <x v="0"/>
    <x v="3"/>
  </r>
  <r>
    <x v="2"/>
    <x v="89"/>
    <s v="Ground"/>
    <x v="2"/>
    <n v="-5"/>
    <x v="0"/>
    <x v="2"/>
    <x v="1"/>
    <x v="0"/>
    <x v="3"/>
  </r>
  <r>
    <x v="2"/>
    <x v="90"/>
    <s v="Ground"/>
    <x v="2"/>
    <n v="-5"/>
    <x v="0"/>
    <x v="2"/>
    <x v="1"/>
    <x v="0"/>
    <x v="3"/>
  </r>
  <r>
    <x v="2"/>
    <x v="91"/>
    <s v="Green's"/>
    <x v="5"/>
    <n v="-98"/>
    <x v="0"/>
    <x v="4"/>
    <x v="1"/>
    <x v="0"/>
    <x v="3"/>
  </r>
  <r>
    <x v="2"/>
    <x v="91"/>
    <s v="Ground"/>
    <x v="2"/>
    <n v="-5"/>
    <x v="0"/>
    <x v="2"/>
    <x v="1"/>
    <x v="0"/>
    <x v="3"/>
  </r>
  <r>
    <x v="2"/>
    <x v="92"/>
    <s v="Ground"/>
    <x v="2"/>
    <n v="-5"/>
    <x v="0"/>
    <x v="2"/>
    <x v="1"/>
    <x v="0"/>
    <x v="3"/>
  </r>
  <r>
    <x v="2"/>
    <x v="92"/>
    <s v="Event Cinemas"/>
    <x v="11"/>
    <n v="-42.8"/>
    <x v="0"/>
    <x v="6"/>
    <x v="1"/>
    <x v="0"/>
    <x v="3"/>
  </r>
  <r>
    <x v="2"/>
    <x v="92"/>
    <s v="Fashionistas"/>
    <x v="8"/>
    <n v="-100.9"/>
    <x v="0"/>
    <x v="6"/>
    <x v="1"/>
    <x v="0"/>
    <x v="3"/>
  </r>
  <r>
    <x v="2"/>
    <x v="92"/>
    <s v="Joe's Grill"/>
    <x v="12"/>
    <n v="-54.9"/>
    <x v="0"/>
    <x v="3"/>
    <x v="2"/>
    <x v="0"/>
    <x v="3"/>
  </r>
  <r>
    <x v="2"/>
    <x v="93"/>
    <s v="Taxi Co."/>
    <x v="13"/>
    <n v="-31"/>
    <x v="0"/>
    <x v="3"/>
    <x v="2"/>
    <x v="0"/>
    <x v="3"/>
  </r>
  <r>
    <x v="0"/>
    <x v="94"/>
    <s v="Muscle Beach"/>
    <x v="15"/>
    <n v="-30"/>
    <x v="0"/>
    <x v="6"/>
    <x v="1"/>
    <x v="0"/>
    <x v="3"/>
  </r>
  <r>
    <x v="2"/>
    <x v="94"/>
    <s v="Ground"/>
    <x v="2"/>
    <n v="-5"/>
    <x v="0"/>
    <x v="2"/>
    <x v="1"/>
    <x v="0"/>
    <x v="3"/>
  </r>
  <r>
    <x v="2"/>
    <x v="95"/>
    <s v="Ground"/>
    <x v="2"/>
    <n v="-5"/>
    <x v="0"/>
    <x v="2"/>
    <x v="1"/>
    <x v="0"/>
    <x v="3"/>
  </r>
  <r>
    <x v="0"/>
    <x v="95"/>
    <s v="Phone Co."/>
    <x v="16"/>
    <n v="-40"/>
    <x v="0"/>
    <x v="4"/>
    <x v="1"/>
    <x v="0"/>
    <x v="3"/>
  </r>
  <r>
    <x v="2"/>
    <x v="96"/>
    <s v="Sam's Gifts"/>
    <x v="14"/>
    <n v="-47.9"/>
    <x v="0"/>
    <x v="6"/>
    <x v="1"/>
    <x v="0"/>
    <x v="3"/>
  </r>
  <r>
    <x v="2"/>
    <x v="96"/>
    <s v="Streaming Co."/>
    <x v="11"/>
    <n v="-35"/>
    <x v="0"/>
    <x v="6"/>
    <x v="1"/>
    <x v="0"/>
    <x v="3"/>
  </r>
  <r>
    <x v="2"/>
    <x v="96"/>
    <s v="Ground"/>
    <x v="2"/>
    <n v="-5"/>
    <x v="0"/>
    <x v="2"/>
    <x v="1"/>
    <x v="0"/>
    <x v="3"/>
  </r>
  <r>
    <x v="2"/>
    <x v="97"/>
    <s v="Ground"/>
    <x v="2"/>
    <n v="-5"/>
    <x v="0"/>
    <x v="2"/>
    <x v="1"/>
    <x v="0"/>
    <x v="3"/>
  </r>
  <r>
    <x v="2"/>
    <x v="98"/>
    <s v="Ground"/>
    <x v="2"/>
    <n v="-5"/>
    <x v="0"/>
    <x v="2"/>
    <x v="1"/>
    <x v="0"/>
    <x v="3"/>
  </r>
  <r>
    <x v="2"/>
    <x v="98"/>
    <s v="Green's"/>
    <x v="5"/>
    <n v="-173"/>
    <x v="0"/>
    <x v="4"/>
    <x v="1"/>
    <x v="0"/>
    <x v="3"/>
  </r>
  <r>
    <x v="2"/>
    <x v="99"/>
    <s v="Pizza Pomodoro"/>
    <x v="12"/>
    <n v="-40.1"/>
    <x v="0"/>
    <x v="3"/>
    <x v="2"/>
    <x v="0"/>
    <x v="3"/>
  </r>
  <r>
    <x v="2"/>
    <x v="100"/>
    <s v="Golden Arches"/>
    <x v="12"/>
    <n v="-15.1"/>
    <x v="0"/>
    <x v="3"/>
    <x v="2"/>
    <x v="0"/>
    <x v="3"/>
  </r>
  <r>
    <x v="0"/>
    <x v="101"/>
    <s v="Worldvision"/>
    <x v="10"/>
    <n v="-55"/>
    <x v="0"/>
    <x v="8"/>
    <x v="1"/>
    <x v="0"/>
    <x v="3"/>
  </r>
  <r>
    <x v="2"/>
    <x v="101"/>
    <s v="Fuel. Co"/>
    <x v="7"/>
    <n v="-66"/>
    <x v="0"/>
    <x v="5"/>
    <x v="1"/>
    <x v="0"/>
    <x v="3"/>
  </r>
  <r>
    <x v="2"/>
    <x v="101"/>
    <s v="Ground"/>
    <x v="2"/>
    <n v="-5"/>
    <x v="0"/>
    <x v="2"/>
    <x v="1"/>
    <x v="0"/>
    <x v="3"/>
  </r>
  <r>
    <x v="2"/>
    <x v="102"/>
    <s v="Ground"/>
    <x v="2"/>
    <n v="-5"/>
    <x v="0"/>
    <x v="2"/>
    <x v="1"/>
    <x v="0"/>
    <x v="3"/>
  </r>
  <r>
    <x v="2"/>
    <x v="103"/>
    <s v="Ground"/>
    <x v="2"/>
    <n v="-5"/>
    <x v="0"/>
    <x v="2"/>
    <x v="1"/>
    <x v="0"/>
    <x v="3"/>
  </r>
  <r>
    <x v="2"/>
    <x v="104"/>
    <s v="Ground"/>
    <x v="2"/>
    <n v="-5"/>
    <x v="0"/>
    <x v="2"/>
    <x v="1"/>
    <x v="0"/>
    <x v="3"/>
  </r>
  <r>
    <x v="2"/>
    <x v="105"/>
    <s v="Ground"/>
    <x v="2"/>
    <n v="-5"/>
    <x v="0"/>
    <x v="2"/>
    <x v="1"/>
    <x v="0"/>
    <x v="3"/>
  </r>
  <r>
    <x v="2"/>
    <x v="105"/>
    <s v="Green's"/>
    <x v="5"/>
    <n v="-164.9"/>
    <x v="0"/>
    <x v="4"/>
    <x v="1"/>
    <x v="0"/>
    <x v="3"/>
  </r>
  <r>
    <x v="2"/>
    <x v="106"/>
    <s v="Ted's Trainers"/>
    <x v="8"/>
    <n v="-127.9"/>
    <x v="0"/>
    <x v="6"/>
    <x v="1"/>
    <x v="0"/>
    <x v="3"/>
  </r>
  <r>
    <x v="2"/>
    <x v="106"/>
    <s v="BW Club"/>
    <x v="11"/>
    <n v="-300"/>
    <x v="0"/>
    <x v="6"/>
    <x v="1"/>
    <x v="0"/>
    <x v="3"/>
  </r>
  <r>
    <x v="2"/>
    <x v="107"/>
    <s v="Fashionistas"/>
    <x v="8"/>
    <n v="-148.1"/>
    <x v="0"/>
    <x v="6"/>
    <x v="1"/>
    <x v="0"/>
    <x v="3"/>
  </r>
  <r>
    <x v="2"/>
    <x v="107"/>
    <s v="Taxi Co."/>
    <x v="13"/>
    <n v="-26.1"/>
    <x v="0"/>
    <x v="3"/>
    <x v="2"/>
    <x v="0"/>
    <x v="3"/>
  </r>
  <r>
    <x v="2"/>
    <x v="108"/>
    <s v="Foodary"/>
    <x v="12"/>
    <n v="-15"/>
    <x v="0"/>
    <x v="3"/>
    <x v="2"/>
    <x v="0"/>
    <x v="3"/>
  </r>
  <r>
    <x v="2"/>
    <x v="108"/>
    <s v="Ground"/>
    <x v="2"/>
    <n v="-5"/>
    <x v="0"/>
    <x v="2"/>
    <x v="1"/>
    <x v="0"/>
    <x v="3"/>
  </r>
  <r>
    <x v="2"/>
    <x v="109"/>
    <s v="Ground"/>
    <x v="2"/>
    <n v="-5"/>
    <x v="0"/>
    <x v="2"/>
    <x v="1"/>
    <x v="0"/>
    <x v="3"/>
  </r>
  <r>
    <x v="2"/>
    <x v="110"/>
    <s v="Ground"/>
    <x v="2"/>
    <n v="-5"/>
    <x v="0"/>
    <x v="2"/>
    <x v="1"/>
    <x v="0"/>
    <x v="4"/>
  </r>
  <r>
    <x v="0"/>
    <x v="111"/>
    <s v="ACME Pty Ltd"/>
    <x v="0"/>
    <n v="4000"/>
    <x v="0"/>
    <x v="0"/>
    <x v="0"/>
    <x v="0"/>
    <x v="4"/>
  </r>
  <r>
    <x v="1"/>
    <x v="111"/>
    <s v="Interest"/>
    <x v="1"/>
    <n v="39"/>
    <x v="0"/>
    <x v="1"/>
    <x v="0"/>
    <x v="0"/>
    <x v="4"/>
  </r>
  <r>
    <x v="0"/>
    <x v="111"/>
    <s v="Estate Mgt."/>
    <x v="3"/>
    <n v="-900"/>
    <x v="0"/>
    <x v="3"/>
    <x v="2"/>
    <x v="0"/>
    <x v="4"/>
  </r>
  <r>
    <x v="0"/>
    <x v="111"/>
    <s v="Finance Co."/>
    <x v="4"/>
    <n v="-150"/>
    <x v="0"/>
    <x v="3"/>
    <x v="2"/>
    <x v="0"/>
    <x v="4"/>
  </r>
  <r>
    <x v="2"/>
    <x v="111"/>
    <s v="Ground"/>
    <x v="2"/>
    <n v="-5"/>
    <x v="0"/>
    <x v="2"/>
    <x v="1"/>
    <x v="0"/>
    <x v="4"/>
  </r>
  <r>
    <x v="2"/>
    <x v="112"/>
    <s v="Ground"/>
    <x v="2"/>
    <n v="-5"/>
    <x v="0"/>
    <x v="2"/>
    <x v="1"/>
    <x v="0"/>
    <x v="4"/>
  </r>
  <r>
    <x v="2"/>
    <x v="113"/>
    <s v="Ground"/>
    <x v="2"/>
    <n v="-5"/>
    <x v="0"/>
    <x v="2"/>
    <x v="1"/>
    <x v="0"/>
    <x v="4"/>
  </r>
  <r>
    <x v="2"/>
    <x v="114"/>
    <s v="Ground"/>
    <x v="2"/>
    <n v="-5"/>
    <x v="0"/>
    <x v="2"/>
    <x v="1"/>
    <x v="0"/>
    <x v="4"/>
  </r>
  <r>
    <x v="2"/>
    <x v="114"/>
    <s v="Green's"/>
    <x v="5"/>
    <n v="-170"/>
    <x v="0"/>
    <x v="4"/>
    <x v="1"/>
    <x v="0"/>
    <x v="4"/>
  </r>
  <r>
    <x v="0"/>
    <x v="115"/>
    <s v="Elec. Co."/>
    <x v="6"/>
    <n v="-54.1"/>
    <x v="0"/>
    <x v="3"/>
    <x v="2"/>
    <x v="0"/>
    <x v="4"/>
  </r>
  <r>
    <x v="2"/>
    <x v="115"/>
    <s v="Ground"/>
    <x v="2"/>
    <n v="-5"/>
    <x v="0"/>
    <x v="2"/>
    <x v="1"/>
    <x v="0"/>
    <x v="4"/>
  </r>
  <r>
    <x v="2"/>
    <x v="116"/>
    <s v="Ground"/>
    <x v="2"/>
    <n v="-5"/>
    <x v="0"/>
    <x v="2"/>
    <x v="1"/>
    <x v="0"/>
    <x v="4"/>
  </r>
  <r>
    <x v="2"/>
    <x v="117"/>
    <s v="Fuel. Co"/>
    <x v="7"/>
    <n v="-81"/>
    <x v="0"/>
    <x v="5"/>
    <x v="1"/>
    <x v="0"/>
    <x v="4"/>
  </r>
  <r>
    <x v="2"/>
    <x v="117"/>
    <s v="Ground"/>
    <x v="2"/>
    <n v="-5"/>
    <x v="0"/>
    <x v="2"/>
    <x v="1"/>
    <x v="0"/>
    <x v="4"/>
  </r>
  <r>
    <x v="2"/>
    <x v="118"/>
    <s v="Ground"/>
    <x v="2"/>
    <n v="-5"/>
    <x v="0"/>
    <x v="2"/>
    <x v="1"/>
    <x v="0"/>
    <x v="4"/>
  </r>
  <r>
    <x v="2"/>
    <x v="119"/>
    <s v="Green's"/>
    <x v="5"/>
    <n v="-139.1"/>
    <x v="0"/>
    <x v="4"/>
    <x v="1"/>
    <x v="0"/>
    <x v="4"/>
  </r>
  <r>
    <x v="2"/>
    <x v="119"/>
    <s v="Ground"/>
    <x v="2"/>
    <n v="-5"/>
    <x v="0"/>
    <x v="2"/>
    <x v="1"/>
    <x v="0"/>
    <x v="4"/>
  </r>
  <r>
    <x v="2"/>
    <x v="120"/>
    <s v="Ground"/>
    <x v="2"/>
    <n v="-5"/>
    <x v="0"/>
    <x v="2"/>
    <x v="1"/>
    <x v="0"/>
    <x v="4"/>
  </r>
  <r>
    <x v="2"/>
    <x v="120"/>
    <s v="Event Cinemas"/>
    <x v="11"/>
    <n v="-43.9"/>
    <x v="0"/>
    <x v="6"/>
    <x v="1"/>
    <x v="0"/>
    <x v="4"/>
  </r>
  <r>
    <x v="2"/>
    <x v="120"/>
    <s v="Fashionistas"/>
    <x v="8"/>
    <n v="-101.80000000000001"/>
    <x v="0"/>
    <x v="6"/>
    <x v="1"/>
    <x v="0"/>
    <x v="4"/>
  </r>
  <r>
    <x v="2"/>
    <x v="120"/>
    <s v="Joe's Grill"/>
    <x v="12"/>
    <n v="-55.9"/>
    <x v="0"/>
    <x v="3"/>
    <x v="2"/>
    <x v="0"/>
    <x v="4"/>
  </r>
  <r>
    <x v="2"/>
    <x v="121"/>
    <s v="Taxi Co."/>
    <x v="13"/>
    <n v="-32"/>
    <x v="0"/>
    <x v="3"/>
    <x v="2"/>
    <x v="0"/>
    <x v="4"/>
  </r>
  <r>
    <x v="0"/>
    <x v="122"/>
    <s v="Muscle Beach"/>
    <x v="15"/>
    <n v="-30"/>
    <x v="0"/>
    <x v="6"/>
    <x v="1"/>
    <x v="0"/>
    <x v="4"/>
  </r>
  <r>
    <x v="2"/>
    <x v="122"/>
    <s v="Ground"/>
    <x v="2"/>
    <n v="-5"/>
    <x v="0"/>
    <x v="2"/>
    <x v="1"/>
    <x v="0"/>
    <x v="4"/>
  </r>
  <r>
    <x v="2"/>
    <x v="123"/>
    <s v="Ground"/>
    <x v="2"/>
    <n v="-5"/>
    <x v="0"/>
    <x v="2"/>
    <x v="1"/>
    <x v="0"/>
    <x v="4"/>
  </r>
  <r>
    <x v="0"/>
    <x v="123"/>
    <s v="Village Medical"/>
    <x v="17"/>
    <n v="-75"/>
    <x v="0"/>
    <x v="7"/>
    <x v="1"/>
    <x v="0"/>
    <x v="4"/>
  </r>
  <r>
    <x v="0"/>
    <x v="123"/>
    <s v="Phone Co."/>
    <x v="16"/>
    <n v="-40"/>
    <x v="0"/>
    <x v="4"/>
    <x v="1"/>
    <x v="0"/>
    <x v="4"/>
  </r>
  <r>
    <x v="2"/>
    <x v="124"/>
    <s v="Sam's Gifts"/>
    <x v="14"/>
    <n v="-49"/>
    <x v="0"/>
    <x v="6"/>
    <x v="1"/>
    <x v="0"/>
    <x v="4"/>
  </r>
  <r>
    <x v="2"/>
    <x v="124"/>
    <s v="Streaming Co."/>
    <x v="11"/>
    <n v="-35"/>
    <x v="0"/>
    <x v="6"/>
    <x v="1"/>
    <x v="0"/>
    <x v="4"/>
  </r>
  <r>
    <x v="2"/>
    <x v="124"/>
    <s v="Ground"/>
    <x v="2"/>
    <n v="-5"/>
    <x v="0"/>
    <x v="2"/>
    <x v="1"/>
    <x v="0"/>
    <x v="4"/>
  </r>
  <r>
    <x v="2"/>
    <x v="125"/>
    <s v="Ground"/>
    <x v="2"/>
    <n v="-5"/>
    <x v="0"/>
    <x v="2"/>
    <x v="1"/>
    <x v="0"/>
    <x v="4"/>
  </r>
  <r>
    <x v="2"/>
    <x v="126"/>
    <s v="Ground"/>
    <x v="2"/>
    <n v="-5"/>
    <x v="0"/>
    <x v="2"/>
    <x v="1"/>
    <x v="0"/>
    <x v="4"/>
  </r>
  <r>
    <x v="2"/>
    <x v="126"/>
    <s v="Green's"/>
    <x v="5"/>
    <n v="-174"/>
    <x v="0"/>
    <x v="4"/>
    <x v="1"/>
    <x v="0"/>
    <x v="4"/>
  </r>
  <r>
    <x v="2"/>
    <x v="127"/>
    <s v="Pizza Pomodoro"/>
    <x v="12"/>
    <n v="-41.1"/>
    <x v="0"/>
    <x v="3"/>
    <x v="2"/>
    <x v="0"/>
    <x v="4"/>
  </r>
  <r>
    <x v="2"/>
    <x v="128"/>
    <s v="Golden Arches"/>
    <x v="12"/>
    <n v="-16.2"/>
    <x v="0"/>
    <x v="3"/>
    <x v="2"/>
    <x v="0"/>
    <x v="4"/>
  </r>
  <r>
    <x v="0"/>
    <x v="129"/>
    <s v="Worldvision"/>
    <x v="10"/>
    <n v="-55"/>
    <x v="0"/>
    <x v="8"/>
    <x v="1"/>
    <x v="0"/>
    <x v="4"/>
  </r>
  <r>
    <x v="2"/>
    <x v="129"/>
    <s v="Fuel. Co"/>
    <x v="7"/>
    <n v="-67"/>
    <x v="0"/>
    <x v="5"/>
    <x v="1"/>
    <x v="0"/>
    <x v="4"/>
  </r>
  <r>
    <x v="2"/>
    <x v="129"/>
    <s v="Ground"/>
    <x v="2"/>
    <n v="-5"/>
    <x v="0"/>
    <x v="2"/>
    <x v="1"/>
    <x v="0"/>
    <x v="4"/>
  </r>
  <r>
    <x v="2"/>
    <x v="130"/>
    <s v="Ground"/>
    <x v="2"/>
    <n v="-5"/>
    <x v="0"/>
    <x v="2"/>
    <x v="1"/>
    <x v="0"/>
    <x v="4"/>
  </r>
  <r>
    <x v="2"/>
    <x v="131"/>
    <s v="Ground"/>
    <x v="2"/>
    <n v="-5"/>
    <x v="0"/>
    <x v="2"/>
    <x v="1"/>
    <x v="0"/>
    <x v="4"/>
  </r>
  <r>
    <x v="2"/>
    <x v="132"/>
    <s v="Ground"/>
    <x v="2"/>
    <n v="-5"/>
    <x v="0"/>
    <x v="2"/>
    <x v="1"/>
    <x v="0"/>
    <x v="4"/>
  </r>
  <r>
    <x v="2"/>
    <x v="133"/>
    <s v="Ground"/>
    <x v="2"/>
    <n v="-5"/>
    <x v="0"/>
    <x v="2"/>
    <x v="1"/>
    <x v="0"/>
    <x v="4"/>
  </r>
  <r>
    <x v="2"/>
    <x v="133"/>
    <s v="Green's"/>
    <x v="5"/>
    <n v="-165.8"/>
    <x v="0"/>
    <x v="4"/>
    <x v="1"/>
    <x v="0"/>
    <x v="4"/>
  </r>
  <r>
    <x v="2"/>
    <x v="134"/>
    <s v="Ted's Trainers"/>
    <x v="8"/>
    <n v="-128.80000000000001"/>
    <x v="0"/>
    <x v="6"/>
    <x v="1"/>
    <x v="0"/>
    <x v="4"/>
  </r>
  <r>
    <x v="2"/>
    <x v="134"/>
    <s v="Home Decorator"/>
    <x v="19"/>
    <n v="-235"/>
    <x v="0"/>
    <x v="6"/>
    <x v="1"/>
    <x v="0"/>
    <x v="4"/>
  </r>
  <r>
    <x v="2"/>
    <x v="135"/>
    <s v="Fashionistas"/>
    <x v="8"/>
    <n v="-149.19999999999999"/>
    <x v="0"/>
    <x v="6"/>
    <x v="1"/>
    <x v="0"/>
    <x v="4"/>
  </r>
  <r>
    <x v="2"/>
    <x v="135"/>
    <s v="Taxi Co."/>
    <x v="13"/>
    <n v="-27.200000000000003"/>
    <x v="0"/>
    <x v="3"/>
    <x v="2"/>
    <x v="0"/>
    <x v="4"/>
  </r>
  <r>
    <x v="2"/>
    <x v="136"/>
    <s v="Foodary"/>
    <x v="12"/>
    <n v="-15"/>
    <x v="0"/>
    <x v="3"/>
    <x v="2"/>
    <x v="0"/>
    <x v="4"/>
  </r>
  <r>
    <x v="2"/>
    <x v="137"/>
    <s v="Ground"/>
    <x v="2"/>
    <n v="-5"/>
    <x v="0"/>
    <x v="2"/>
    <x v="1"/>
    <x v="0"/>
    <x v="4"/>
  </r>
  <r>
    <x v="2"/>
    <x v="136"/>
    <s v="Ground"/>
    <x v="2"/>
    <n v="-5"/>
    <x v="0"/>
    <x v="2"/>
    <x v="1"/>
    <x v="0"/>
    <x v="4"/>
  </r>
  <r>
    <x v="0"/>
    <x v="138"/>
    <s v="ACME Pty Ltd"/>
    <x v="0"/>
    <n v="4000"/>
    <x v="0"/>
    <x v="0"/>
    <x v="0"/>
    <x v="0"/>
    <x v="5"/>
  </r>
  <r>
    <x v="1"/>
    <x v="138"/>
    <s v="Interest"/>
    <x v="1"/>
    <n v="40"/>
    <x v="0"/>
    <x v="1"/>
    <x v="0"/>
    <x v="0"/>
    <x v="5"/>
  </r>
  <r>
    <x v="2"/>
    <x v="139"/>
    <s v="Ground"/>
    <x v="2"/>
    <n v="-5"/>
    <x v="0"/>
    <x v="2"/>
    <x v="1"/>
    <x v="0"/>
    <x v="5"/>
  </r>
  <r>
    <x v="0"/>
    <x v="139"/>
    <s v="Estate Mgt."/>
    <x v="3"/>
    <n v="-900"/>
    <x v="0"/>
    <x v="3"/>
    <x v="2"/>
    <x v="0"/>
    <x v="5"/>
  </r>
  <r>
    <x v="0"/>
    <x v="139"/>
    <s v="Finance Co."/>
    <x v="4"/>
    <n v="-150"/>
    <x v="0"/>
    <x v="3"/>
    <x v="2"/>
    <x v="0"/>
    <x v="5"/>
  </r>
  <r>
    <x v="2"/>
    <x v="139"/>
    <s v="Ground"/>
    <x v="2"/>
    <n v="-5"/>
    <x v="0"/>
    <x v="2"/>
    <x v="1"/>
    <x v="0"/>
    <x v="5"/>
  </r>
  <r>
    <x v="2"/>
    <x v="140"/>
    <s v="Ground"/>
    <x v="2"/>
    <n v="-5"/>
    <x v="0"/>
    <x v="2"/>
    <x v="1"/>
    <x v="0"/>
    <x v="5"/>
  </r>
  <r>
    <x v="2"/>
    <x v="141"/>
    <s v="Ground"/>
    <x v="2"/>
    <n v="-5"/>
    <x v="0"/>
    <x v="2"/>
    <x v="1"/>
    <x v="0"/>
    <x v="5"/>
  </r>
  <r>
    <x v="2"/>
    <x v="142"/>
    <s v="Ground"/>
    <x v="2"/>
    <n v="-5"/>
    <x v="0"/>
    <x v="2"/>
    <x v="1"/>
    <x v="0"/>
    <x v="5"/>
  </r>
  <r>
    <x v="2"/>
    <x v="142"/>
    <s v="Green's"/>
    <x v="5"/>
    <n v="-119"/>
    <x v="0"/>
    <x v="4"/>
    <x v="1"/>
    <x v="0"/>
    <x v="5"/>
  </r>
  <r>
    <x v="0"/>
    <x v="143"/>
    <s v="Elec. Co."/>
    <x v="6"/>
    <n v="-55"/>
    <x v="0"/>
    <x v="3"/>
    <x v="2"/>
    <x v="0"/>
    <x v="5"/>
  </r>
  <r>
    <x v="2"/>
    <x v="143"/>
    <s v="Ground"/>
    <x v="2"/>
    <n v="-5"/>
    <x v="0"/>
    <x v="2"/>
    <x v="1"/>
    <x v="0"/>
    <x v="5"/>
  </r>
  <r>
    <x v="2"/>
    <x v="144"/>
    <s v="Ground"/>
    <x v="2"/>
    <n v="-5"/>
    <x v="0"/>
    <x v="2"/>
    <x v="1"/>
    <x v="0"/>
    <x v="5"/>
  </r>
  <r>
    <x v="2"/>
    <x v="145"/>
    <s v="Fuel. Co"/>
    <x v="7"/>
    <n v="-82.1"/>
    <x v="0"/>
    <x v="5"/>
    <x v="1"/>
    <x v="0"/>
    <x v="5"/>
  </r>
  <r>
    <x v="2"/>
    <x v="145"/>
    <s v="Ground"/>
    <x v="2"/>
    <n v="-5"/>
    <x v="0"/>
    <x v="2"/>
    <x v="1"/>
    <x v="0"/>
    <x v="5"/>
  </r>
  <r>
    <x v="2"/>
    <x v="146"/>
    <s v="Ground"/>
    <x v="2"/>
    <n v="-5"/>
    <x v="0"/>
    <x v="2"/>
    <x v="1"/>
    <x v="0"/>
    <x v="5"/>
  </r>
  <r>
    <x v="2"/>
    <x v="147"/>
    <s v="Green's"/>
    <x v="5"/>
    <n v="-140.19999999999999"/>
    <x v="0"/>
    <x v="4"/>
    <x v="1"/>
    <x v="0"/>
    <x v="5"/>
  </r>
  <r>
    <x v="2"/>
    <x v="147"/>
    <s v="Ground"/>
    <x v="2"/>
    <n v="-5"/>
    <x v="0"/>
    <x v="2"/>
    <x v="1"/>
    <x v="0"/>
    <x v="5"/>
  </r>
  <r>
    <x v="2"/>
    <x v="148"/>
    <s v="Ground"/>
    <x v="2"/>
    <n v="-5"/>
    <x v="0"/>
    <x v="2"/>
    <x v="1"/>
    <x v="0"/>
    <x v="5"/>
  </r>
  <r>
    <x v="2"/>
    <x v="148"/>
    <s v="Event Cinemas"/>
    <x v="11"/>
    <n v="-44.9"/>
    <x v="0"/>
    <x v="6"/>
    <x v="1"/>
    <x v="0"/>
    <x v="5"/>
  </r>
  <r>
    <x v="2"/>
    <x v="148"/>
    <s v="Fashionistas"/>
    <x v="8"/>
    <n v="-102.9"/>
    <x v="0"/>
    <x v="6"/>
    <x v="1"/>
    <x v="0"/>
    <x v="5"/>
  </r>
  <r>
    <x v="2"/>
    <x v="148"/>
    <s v="Joe's Grill"/>
    <x v="12"/>
    <n v="-56.9"/>
    <x v="0"/>
    <x v="3"/>
    <x v="2"/>
    <x v="0"/>
    <x v="5"/>
  </r>
  <r>
    <x v="2"/>
    <x v="149"/>
    <s v="Taxi Co."/>
    <x v="13"/>
    <n v="-33.1"/>
    <x v="0"/>
    <x v="3"/>
    <x v="2"/>
    <x v="0"/>
    <x v="5"/>
  </r>
  <r>
    <x v="0"/>
    <x v="150"/>
    <s v="Muscle Beach"/>
    <x v="15"/>
    <n v="-30"/>
    <x v="0"/>
    <x v="6"/>
    <x v="1"/>
    <x v="0"/>
    <x v="5"/>
  </r>
  <r>
    <x v="2"/>
    <x v="150"/>
    <s v="Ground"/>
    <x v="2"/>
    <n v="-5"/>
    <x v="0"/>
    <x v="2"/>
    <x v="1"/>
    <x v="0"/>
    <x v="5"/>
  </r>
  <r>
    <x v="2"/>
    <x v="151"/>
    <s v="Ground"/>
    <x v="2"/>
    <n v="-5"/>
    <x v="0"/>
    <x v="2"/>
    <x v="1"/>
    <x v="0"/>
    <x v="5"/>
  </r>
  <r>
    <x v="0"/>
    <x v="151"/>
    <s v="Phone Co."/>
    <x v="16"/>
    <n v="-40"/>
    <x v="0"/>
    <x v="4"/>
    <x v="1"/>
    <x v="0"/>
    <x v="5"/>
  </r>
  <r>
    <x v="2"/>
    <x v="152"/>
    <s v="Sam's Gifts"/>
    <x v="14"/>
    <n v="-50.1"/>
    <x v="0"/>
    <x v="6"/>
    <x v="1"/>
    <x v="0"/>
    <x v="5"/>
  </r>
  <r>
    <x v="2"/>
    <x v="152"/>
    <s v="Streaming Co."/>
    <x v="11"/>
    <n v="-35"/>
    <x v="0"/>
    <x v="6"/>
    <x v="1"/>
    <x v="0"/>
    <x v="5"/>
  </r>
  <r>
    <x v="2"/>
    <x v="152"/>
    <s v="Ground"/>
    <x v="2"/>
    <n v="-5"/>
    <x v="0"/>
    <x v="2"/>
    <x v="1"/>
    <x v="0"/>
    <x v="5"/>
  </r>
  <r>
    <x v="2"/>
    <x v="153"/>
    <s v="Ground"/>
    <x v="2"/>
    <n v="-5"/>
    <x v="0"/>
    <x v="2"/>
    <x v="1"/>
    <x v="0"/>
    <x v="5"/>
  </r>
  <r>
    <x v="2"/>
    <x v="154"/>
    <s v="Ground"/>
    <x v="2"/>
    <n v="-5"/>
    <x v="0"/>
    <x v="2"/>
    <x v="1"/>
    <x v="0"/>
    <x v="5"/>
  </r>
  <r>
    <x v="2"/>
    <x v="154"/>
    <s v="Green's"/>
    <x v="5"/>
    <n v="-234"/>
    <x v="0"/>
    <x v="4"/>
    <x v="1"/>
    <x v="0"/>
    <x v="5"/>
  </r>
  <r>
    <x v="2"/>
    <x v="155"/>
    <s v="Pizza Pomodoro"/>
    <x v="12"/>
    <n v="-42.1"/>
    <x v="0"/>
    <x v="3"/>
    <x v="2"/>
    <x v="0"/>
    <x v="5"/>
  </r>
  <r>
    <x v="2"/>
    <x v="156"/>
    <s v="Golden Arches"/>
    <x v="12"/>
    <n v="-17.099999999999998"/>
    <x v="0"/>
    <x v="3"/>
    <x v="2"/>
    <x v="0"/>
    <x v="5"/>
  </r>
  <r>
    <x v="0"/>
    <x v="157"/>
    <s v="Worldvision"/>
    <x v="10"/>
    <n v="-55"/>
    <x v="0"/>
    <x v="8"/>
    <x v="1"/>
    <x v="0"/>
    <x v="5"/>
  </r>
  <r>
    <x v="2"/>
    <x v="157"/>
    <s v="Fuel. Co"/>
    <x v="7"/>
    <n v="-67.900000000000006"/>
    <x v="0"/>
    <x v="5"/>
    <x v="1"/>
    <x v="0"/>
    <x v="5"/>
  </r>
  <r>
    <x v="2"/>
    <x v="157"/>
    <s v="Ground"/>
    <x v="2"/>
    <n v="-5"/>
    <x v="0"/>
    <x v="2"/>
    <x v="1"/>
    <x v="0"/>
    <x v="5"/>
  </r>
  <r>
    <x v="2"/>
    <x v="158"/>
    <s v="Ground"/>
    <x v="2"/>
    <n v="-5"/>
    <x v="0"/>
    <x v="2"/>
    <x v="1"/>
    <x v="0"/>
    <x v="5"/>
  </r>
  <r>
    <x v="2"/>
    <x v="159"/>
    <s v="Ground"/>
    <x v="2"/>
    <n v="-5"/>
    <x v="0"/>
    <x v="2"/>
    <x v="1"/>
    <x v="0"/>
    <x v="5"/>
  </r>
  <r>
    <x v="2"/>
    <x v="160"/>
    <s v="Ground"/>
    <x v="2"/>
    <n v="-5"/>
    <x v="0"/>
    <x v="2"/>
    <x v="1"/>
    <x v="0"/>
    <x v="5"/>
  </r>
  <r>
    <x v="2"/>
    <x v="161"/>
    <s v="Ground"/>
    <x v="2"/>
    <n v="-5"/>
    <x v="0"/>
    <x v="2"/>
    <x v="1"/>
    <x v="0"/>
    <x v="5"/>
  </r>
  <r>
    <x v="2"/>
    <x v="161"/>
    <s v="Green's"/>
    <x v="5"/>
    <n v="-166.9"/>
    <x v="0"/>
    <x v="4"/>
    <x v="1"/>
    <x v="0"/>
    <x v="5"/>
  </r>
  <r>
    <x v="2"/>
    <x v="162"/>
    <s v="Ted's Trainers"/>
    <x v="8"/>
    <n v="-129.9"/>
    <x v="0"/>
    <x v="6"/>
    <x v="1"/>
    <x v="0"/>
    <x v="5"/>
  </r>
  <r>
    <x v="2"/>
    <x v="162"/>
    <s v="Ticketek"/>
    <x v="11"/>
    <n v="-180.29999999999998"/>
    <x v="0"/>
    <x v="6"/>
    <x v="1"/>
    <x v="0"/>
    <x v="5"/>
  </r>
  <r>
    <x v="2"/>
    <x v="163"/>
    <s v="Fashionistas"/>
    <x v="8"/>
    <n v="-150.1"/>
    <x v="0"/>
    <x v="6"/>
    <x v="1"/>
    <x v="0"/>
    <x v="5"/>
  </r>
  <r>
    <x v="2"/>
    <x v="163"/>
    <s v="Taxi Co."/>
    <x v="13"/>
    <n v="-28.200000000000003"/>
    <x v="0"/>
    <x v="3"/>
    <x v="2"/>
    <x v="0"/>
    <x v="5"/>
  </r>
  <r>
    <x v="2"/>
    <x v="163"/>
    <s v="Foodary"/>
    <x v="12"/>
    <n v="-15"/>
    <x v="0"/>
    <x v="3"/>
    <x v="2"/>
    <x v="0"/>
    <x v="5"/>
  </r>
  <r>
    <x v="2"/>
    <x v="164"/>
    <s v="Ground"/>
    <x v="2"/>
    <n v="-5"/>
    <x v="0"/>
    <x v="2"/>
    <x v="1"/>
    <x v="0"/>
    <x v="5"/>
  </r>
  <r>
    <x v="2"/>
    <x v="165"/>
    <s v="Ground"/>
    <x v="2"/>
    <n v="-5"/>
    <x v="0"/>
    <x v="2"/>
    <x v="1"/>
    <x v="0"/>
    <x v="6"/>
  </r>
  <r>
    <x v="0"/>
    <x v="166"/>
    <s v="ACME Pty Ltd"/>
    <x v="0"/>
    <n v="4000"/>
    <x v="0"/>
    <x v="0"/>
    <x v="0"/>
    <x v="0"/>
    <x v="6"/>
  </r>
  <r>
    <x v="1"/>
    <x v="166"/>
    <s v="Interest"/>
    <x v="1"/>
    <n v="41"/>
    <x v="0"/>
    <x v="1"/>
    <x v="0"/>
    <x v="0"/>
    <x v="6"/>
  </r>
  <r>
    <x v="2"/>
    <x v="167"/>
    <s v="Ground"/>
    <x v="2"/>
    <n v="-5"/>
    <x v="0"/>
    <x v="2"/>
    <x v="1"/>
    <x v="0"/>
    <x v="6"/>
  </r>
  <r>
    <x v="0"/>
    <x v="168"/>
    <s v="Estate Mgt."/>
    <x v="3"/>
    <n v="-900"/>
    <x v="0"/>
    <x v="3"/>
    <x v="2"/>
    <x v="0"/>
    <x v="6"/>
  </r>
  <r>
    <x v="0"/>
    <x v="168"/>
    <s v="Finance Co."/>
    <x v="4"/>
    <n v="-150"/>
    <x v="0"/>
    <x v="3"/>
    <x v="2"/>
    <x v="0"/>
    <x v="6"/>
  </r>
  <r>
    <x v="2"/>
    <x v="168"/>
    <s v="Fodary"/>
    <x v="12"/>
    <n v="-15"/>
    <x v="0"/>
    <x v="3"/>
    <x v="2"/>
    <x v="0"/>
    <x v="6"/>
  </r>
  <r>
    <x v="2"/>
    <x v="168"/>
    <s v="Ground"/>
    <x v="2"/>
    <n v="-5"/>
    <x v="0"/>
    <x v="2"/>
    <x v="1"/>
    <x v="0"/>
    <x v="6"/>
  </r>
  <r>
    <x v="2"/>
    <x v="169"/>
    <s v="Ground"/>
    <x v="2"/>
    <n v="-5"/>
    <x v="0"/>
    <x v="2"/>
    <x v="1"/>
    <x v="0"/>
    <x v="6"/>
  </r>
  <r>
    <x v="2"/>
    <x v="170"/>
    <s v="Ground"/>
    <x v="2"/>
    <n v="-5"/>
    <x v="0"/>
    <x v="2"/>
    <x v="1"/>
    <x v="0"/>
    <x v="6"/>
  </r>
  <r>
    <x v="2"/>
    <x v="170"/>
    <s v="Green's"/>
    <x v="5"/>
    <n v="-180"/>
    <x v="0"/>
    <x v="4"/>
    <x v="1"/>
    <x v="0"/>
    <x v="6"/>
  </r>
  <r>
    <x v="0"/>
    <x v="171"/>
    <s v="Elec. Co."/>
    <x v="6"/>
    <n v="-56.1"/>
    <x v="0"/>
    <x v="3"/>
    <x v="2"/>
    <x v="0"/>
    <x v="6"/>
  </r>
  <r>
    <x v="2"/>
    <x v="171"/>
    <s v="Ground"/>
    <x v="2"/>
    <n v="-5"/>
    <x v="0"/>
    <x v="2"/>
    <x v="1"/>
    <x v="0"/>
    <x v="6"/>
  </r>
  <r>
    <x v="2"/>
    <x v="172"/>
    <s v="Ground"/>
    <x v="2"/>
    <n v="-5"/>
    <x v="0"/>
    <x v="2"/>
    <x v="1"/>
    <x v="0"/>
    <x v="6"/>
  </r>
  <r>
    <x v="2"/>
    <x v="173"/>
    <s v="Fuel. Co"/>
    <x v="7"/>
    <n v="-83.1"/>
    <x v="0"/>
    <x v="5"/>
    <x v="1"/>
    <x v="0"/>
    <x v="6"/>
  </r>
  <r>
    <x v="2"/>
    <x v="173"/>
    <s v="Ground"/>
    <x v="2"/>
    <n v="-5"/>
    <x v="0"/>
    <x v="2"/>
    <x v="1"/>
    <x v="0"/>
    <x v="6"/>
  </r>
  <r>
    <x v="2"/>
    <x v="174"/>
    <s v="Ground"/>
    <x v="2"/>
    <n v="-5"/>
    <x v="0"/>
    <x v="2"/>
    <x v="1"/>
    <x v="0"/>
    <x v="6"/>
  </r>
  <r>
    <x v="2"/>
    <x v="175"/>
    <s v="Green's"/>
    <x v="5"/>
    <n v="-141.1"/>
    <x v="0"/>
    <x v="4"/>
    <x v="1"/>
    <x v="0"/>
    <x v="6"/>
  </r>
  <r>
    <x v="2"/>
    <x v="175"/>
    <s v="Ground"/>
    <x v="2"/>
    <n v="-5"/>
    <x v="0"/>
    <x v="2"/>
    <x v="1"/>
    <x v="0"/>
    <x v="6"/>
  </r>
  <r>
    <x v="2"/>
    <x v="176"/>
    <s v="Ground"/>
    <x v="2"/>
    <n v="-5"/>
    <x v="0"/>
    <x v="2"/>
    <x v="1"/>
    <x v="0"/>
    <x v="6"/>
  </r>
  <r>
    <x v="2"/>
    <x v="176"/>
    <s v="Event Cinemas"/>
    <x v="11"/>
    <n v="-45.8"/>
    <x v="0"/>
    <x v="6"/>
    <x v="1"/>
    <x v="0"/>
    <x v="6"/>
  </r>
  <r>
    <x v="2"/>
    <x v="176"/>
    <s v="Fashionistas"/>
    <x v="8"/>
    <n v="-103.80000000000001"/>
    <x v="0"/>
    <x v="6"/>
    <x v="1"/>
    <x v="0"/>
    <x v="6"/>
  </r>
  <r>
    <x v="2"/>
    <x v="176"/>
    <s v="Joe's Grill"/>
    <x v="12"/>
    <n v="-58"/>
    <x v="0"/>
    <x v="3"/>
    <x v="2"/>
    <x v="0"/>
    <x v="6"/>
  </r>
  <r>
    <x v="2"/>
    <x v="177"/>
    <s v="Taxi Co."/>
    <x v="13"/>
    <n v="-34.200000000000003"/>
    <x v="0"/>
    <x v="3"/>
    <x v="2"/>
    <x v="0"/>
    <x v="6"/>
  </r>
  <r>
    <x v="0"/>
    <x v="178"/>
    <s v="Muscle Beach"/>
    <x v="15"/>
    <n v="-30"/>
    <x v="0"/>
    <x v="6"/>
    <x v="1"/>
    <x v="0"/>
    <x v="6"/>
  </r>
  <r>
    <x v="2"/>
    <x v="178"/>
    <s v="Ground"/>
    <x v="2"/>
    <n v="-5"/>
    <x v="0"/>
    <x v="2"/>
    <x v="1"/>
    <x v="0"/>
    <x v="6"/>
  </r>
  <r>
    <x v="2"/>
    <x v="179"/>
    <s v="Ground"/>
    <x v="2"/>
    <n v="-5"/>
    <x v="0"/>
    <x v="2"/>
    <x v="1"/>
    <x v="0"/>
    <x v="6"/>
  </r>
  <r>
    <x v="0"/>
    <x v="179"/>
    <s v="Phone Co."/>
    <x v="16"/>
    <n v="-40"/>
    <x v="0"/>
    <x v="4"/>
    <x v="1"/>
    <x v="0"/>
    <x v="6"/>
  </r>
  <r>
    <x v="2"/>
    <x v="180"/>
    <s v="Sam's Gifts"/>
    <x v="14"/>
    <n v="-51.1"/>
    <x v="0"/>
    <x v="6"/>
    <x v="1"/>
    <x v="0"/>
    <x v="6"/>
  </r>
  <r>
    <x v="2"/>
    <x v="180"/>
    <s v="Streaming Co."/>
    <x v="11"/>
    <n v="-35"/>
    <x v="0"/>
    <x v="6"/>
    <x v="1"/>
    <x v="0"/>
    <x v="6"/>
  </r>
  <r>
    <x v="2"/>
    <x v="180"/>
    <s v="Ground"/>
    <x v="2"/>
    <n v="-5"/>
    <x v="0"/>
    <x v="2"/>
    <x v="1"/>
    <x v="0"/>
    <x v="6"/>
  </r>
  <r>
    <x v="2"/>
    <x v="181"/>
    <s v="Ground"/>
    <x v="2"/>
    <n v="-5"/>
    <x v="0"/>
    <x v="2"/>
    <x v="1"/>
    <x v="0"/>
    <x v="6"/>
  </r>
  <r>
    <x v="2"/>
    <x v="182"/>
    <s v="Ground"/>
    <x v="2"/>
    <n v="-5"/>
    <x v="0"/>
    <x v="2"/>
    <x v="1"/>
    <x v="0"/>
    <x v="6"/>
  </r>
  <r>
    <x v="2"/>
    <x v="182"/>
    <s v="Green's"/>
    <x v="5"/>
    <n v="-176"/>
    <x v="0"/>
    <x v="4"/>
    <x v="1"/>
    <x v="0"/>
    <x v="6"/>
  </r>
  <r>
    <x v="2"/>
    <x v="183"/>
    <s v="Pizza Pomodoro"/>
    <x v="12"/>
    <n v="-43.1"/>
    <x v="0"/>
    <x v="3"/>
    <x v="2"/>
    <x v="0"/>
    <x v="6"/>
  </r>
  <r>
    <x v="2"/>
    <x v="184"/>
    <s v="Golden Arches"/>
    <x v="12"/>
    <n v="-18.2"/>
    <x v="0"/>
    <x v="3"/>
    <x v="2"/>
    <x v="0"/>
    <x v="6"/>
  </r>
  <r>
    <x v="0"/>
    <x v="185"/>
    <s v="Worldvision"/>
    <x v="10"/>
    <n v="-55"/>
    <x v="0"/>
    <x v="8"/>
    <x v="1"/>
    <x v="0"/>
    <x v="6"/>
  </r>
  <r>
    <x v="2"/>
    <x v="185"/>
    <s v="Fuel. Co"/>
    <x v="7"/>
    <n v="-68.800000000000011"/>
    <x v="0"/>
    <x v="5"/>
    <x v="1"/>
    <x v="0"/>
    <x v="6"/>
  </r>
  <r>
    <x v="2"/>
    <x v="185"/>
    <s v="Ground"/>
    <x v="2"/>
    <n v="-5"/>
    <x v="0"/>
    <x v="2"/>
    <x v="1"/>
    <x v="0"/>
    <x v="6"/>
  </r>
  <r>
    <x v="2"/>
    <x v="186"/>
    <s v="Ground"/>
    <x v="2"/>
    <n v="-5"/>
    <x v="0"/>
    <x v="2"/>
    <x v="1"/>
    <x v="0"/>
    <x v="6"/>
  </r>
  <r>
    <x v="2"/>
    <x v="187"/>
    <s v="Ground"/>
    <x v="2"/>
    <n v="-5"/>
    <x v="0"/>
    <x v="2"/>
    <x v="1"/>
    <x v="0"/>
    <x v="6"/>
  </r>
  <r>
    <x v="2"/>
    <x v="188"/>
    <s v="Ground"/>
    <x v="2"/>
    <n v="-5"/>
    <x v="0"/>
    <x v="2"/>
    <x v="1"/>
    <x v="0"/>
    <x v="6"/>
  </r>
  <r>
    <x v="2"/>
    <x v="189"/>
    <s v="Ground"/>
    <x v="2"/>
    <n v="-5"/>
    <x v="0"/>
    <x v="2"/>
    <x v="1"/>
    <x v="0"/>
    <x v="6"/>
  </r>
  <r>
    <x v="2"/>
    <x v="189"/>
    <s v="Green's"/>
    <x v="5"/>
    <n v="-193"/>
    <x v="0"/>
    <x v="4"/>
    <x v="1"/>
    <x v="0"/>
    <x v="6"/>
  </r>
  <r>
    <x v="2"/>
    <x v="190"/>
    <s v="Ted's Trainers"/>
    <x v="8"/>
    <n v="-130.80000000000001"/>
    <x v="0"/>
    <x v="6"/>
    <x v="1"/>
    <x v="0"/>
    <x v="6"/>
  </r>
  <r>
    <x v="2"/>
    <x v="190"/>
    <s v="Home Decorator"/>
    <x v="19"/>
    <n v="-181.39999999999998"/>
    <x v="0"/>
    <x v="6"/>
    <x v="1"/>
    <x v="0"/>
    <x v="6"/>
  </r>
  <r>
    <x v="2"/>
    <x v="191"/>
    <s v="Fashionistas"/>
    <x v="8"/>
    <n v="-151.19999999999999"/>
    <x v="0"/>
    <x v="6"/>
    <x v="1"/>
    <x v="0"/>
    <x v="6"/>
  </r>
  <r>
    <x v="2"/>
    <x v="191"/>
    <s v="Taxi Co."/>
    <x v="13"/>
    <n v="-29.300000000000004"/>
    <x v="0"/>
    <x v="3"/>
    <x v="2"/>
    <x v="0"/>
    <x v="6"/>
  </r>
  <r>
    <x v="2"/>
    <x v="191"/>
    <s v="Foodary"/>
    <x v="12"/>
    <n v="-15"/>
    <x v="0"/>
    <x v="3"/>
    <x v="2"/>
    <x v="0"/>
    <x v="6"/>
  </r>
  <r>
    <x v="2"/>
    <x v="192"/>
    <s v="Ground"/>
    <x v="2"/>
    <n v="-5"/>
    <x v="0"/>
    <x v="2"/>
    <x v="1"/>
    <x v="0"/>
    <x v="6"/>
  </r>
  <r>
    <x v="2"/>
    <x v="193"/>
    <s v="Ground"/>
    <x v="2"/>
    <n v="-5"/>
    <x v="0"/>
    <x v="2"/>
    <x v="1"/>
    <x v="0"/>
    <x v="7"/>
  </r>
  <r>
    <x v="0"/>
    <x v="193"/>
    <s v="ACME Pty Ltd"/>
    <x v="0"/>
    <n v="4000"/>
    <x v="0"/>
    <x v="0"/>
    <x v="0"/>
    <x v="0"/>
    <x v="7"/>
  </r>
  <r>
    <x v="1"/>
    <x v="193"/>
    <s v="Interest"/>
    <x v="1"/>
    <n v="42"/>
    <x v="0"/>
    <x v="1"/>
    <x v="0"/>
    <x v="0"/>
    <x v="7"/>
  </r>
  <r>
    <x v="2"/>
    <x v="194"/>
    <s v="Ground"/>
    <x v="2"/>
    <n v="-5"/>
    <x v="0"/>
    <x v="2"/>
    <x v="1"/>
    <x v="0"/>
    <x v="7"/>
  </r>
  <r>
    <x v="0"/>
    <x v="195"/>
    <s v="Estate Mgt."/>
    <x v="3"/>
    <n v="-900"/>
    <x v="0"/>
    <x v="3"/>
    <x v="2"/>
    <x v="0"/>
    <x v="7"/>
  </r>
  <r>
    <x v="0"/>
    <x v="195"/>
    <s v="Finance Co."/>
    <x v="4"/>
    <n v="-150"/>
    <x v="0"/>
    <x v="3"/>
    <x v="2"/>
    <x v="0"/>
    <x v="7"/>
  </r>
  <r>
    <x v="2"/>
    <x v="195"/>
    <s v="Ground"/>
    <x v="2"/>
    <n v="-5"/>
    <x v="0"/>
    <x v="2"/>
    <x v="1"/>
    <x v="0"/>
    <x v="7"/>
  </r>
  <r>
    <x v="2"/>
    <x v="195"/>
    <s v="Ground"/>
    <x v="2"/>
    <n v="-5"/>
    <x v="0"/>
    <x v="2"/>
    <x v="1"/>
    <x v="0"/>
    <x v="7"/>
  </r>
  <r>
    <x v="2"/>
    <x v="196"/>
    <s v="Ground"/>
    <x v="2"/>
    <n v="-5"/>
    <x v="0"/>
    <x v="2"/>
    <x v="1"/>
    <x v="0"/>
    <x v="7"/>
  </r>
  <r>
    <x v="2"/>
    <x v="197"/>
    <s v="Ground"/>
    <x v="2"/>
    <n v="-5"/>
    <x v="0"/>
    <x v="2"/>
    <x v="1"/>
    <x v="0"/>
    <x v="7"/>
  </r>
  <r>
    <x v="2"/>
    <x v="197"/>
    <s v="Green's"/>
    <x v="5"/>
    <n v="-137"/>
    <x v="0"/>
    <x v="4"/>
    <x v="1"/>
    <x v="0"/>
    <x v="7"/>
  </r>
  <r>
    <x v="0"/>
    <x v="198"/>
    <s v="Elec. Co."/>
    <x v="6"/>
    <n v="-57"/>
    <x v="0"/>
    <x v="3"/>
    <x v="2"/>
    <x v="0"/>
    <x v="7"/>
  </r>
  <r>
    <x v="2"/>
    <x v="198"/>
    <s v="Ground"/>
    <x v="2"/>
    <n v="-5"/>
    <x v="0"/>
    <x v="2"/>
    <x v="1"/>
    <x v="0"/>
    <x v="7"/>
  </r>
  <r>
    <x v="2"/>
    <x v="199"/>
    <s v="Ground"/>
    <x v="2"/>
    <n v="-5"/>
    <x v="0"/>
    <x v="2"/>
    <x v="1"/>
    <x v="0"/>
    <x v="7"/>
  </r>
  <r>
    <x v="2"/>
    <x v="200"/>
    <s v="Fuel. Co"/>
    <x v="7"/>
    <n v="-84.199999999999989"/>
    <x v="0"/>
    <x v="5"/>
    <x v="1"/>
    <x v="0"/>
    <x v="7"/>
  </r>
  <r>
    <x v="2"/>
    <x v="200"/>
    <s v="Ground"/>
    <x v="2"/>
    <n v="-5"/>
    <x v="0"/>
    <x v="2"/>
    <x v="1"/>
    <x v="0"/>
    <x v="7"/>
  </r>
  <r>
    <x v="2"/>
    <x v="201"/>
    <s v="Ground"/>
    <x v="2"/>
    <n v="-5"/>
    <x v="0"/>
    <x v="2"/>
    <x v="1"/>
    <x v="0"/>
    <x v="7"/>
  </r>
  <r>
    <x v="2"/>
    <x v="202"/>
    <s v="Green's"/>
    <x v="5"/>
    <n v="-142.1"/>
    <x v="0"/>
    <x v="4"/>
    <x v="1"/>
    <x v="0"/>
    <x v="7"/>
  </r>
  <r>
    <x v="2"/>
    <x v="202"/>
    <s v="Ground"/>
    <x v="2"/>
    <n v="-5"/>
    <x v="0"/>
    <x v="2"/>
    <x v="1"/>
    <x v="0"/>
    <x v="7"/>
  </r>
  <r>
    <x v="2"/>
    <x v="203"/>
    <s v="Ground"/>
    <x v="2"/>
    <n v="-5"/>
    <x v="0"/>
    <x v="2"/>
    <x v="1"/>
    <x v="0"/>
    <x v="7"/>
  </r>
  <r>
    <x v="2"/>
    <x v="203"/>
    <s v="Event Cinemas"/>
    <x v="11"/>
    <n v="-46.8"/>
    <x v="0"/>
    <x v="6"/>
    <x v="1"/>
    <x v="0"/>
    <x v="7"/>
  </r>
  <r>
    <x v="2"/>
    <x v="203"/>
    <s v="Fashionistas"/>
    <x v="8"/>
    <n v="-104.70000000000002"/>
    <x v="0"/>
    <x v="6"/>
    <x v="1"/>
    <x v="0"/>
    <x v="7"/>
  </r>
  <r>
    <x v="2"/>
    <x v="203"/>
    <s v="Joe's Grill"/>
    <x v="12"/>
    <n v="-59.1"/>
    <x v="0"/>
    <x v="3"/>
    <x v="2"/>
    <x v="0"/>
    <x v="7"/>
  </r>
  <r>
    <x v="2"/>
    <x v="204"/>
    <s v="Taxi Co."/>
    <x v="13"/>
    <n v="-35.1"/>
    <x v="0"/>
    <x v="3"/>
    <x v="2"/>
    <x v="0"/>
    <x v="7"/>
  </r>
  <r>
    <x v="0"/>
    <x v="205"/>
    <s v="Muscle Beach"/>
    <x v="15"/>
    <n v="-30"/>
    <x v="0"/>
    <x v="6"/>
    <x v="1"/>
    <x v="0"/>
    <x v="7"/>
  </r>
  <r>
    <x v="2"/>
    <x v="205"/>
    <s v="Ground"/>
    <x v="2"/>
    <n v="-5"/>
    <x v="0"/>
    <x v="2"/>
    <x v="1"/>
    <x v="0"/>
    <x v="7"/>
  </r>
  <r>
    <x v="2"/>
    <x v="206"/>
    <s v="Ground"/>
    <x v="2"/>
    <n v="-5"/>
    <x v="0"/>
    <x v="2"/>
    <x v="1"/>
    <x v="0"/>
    <x v="7"/>
  </r>
  <r>
    <x v="0"/>
    <x v="206"/>
    <s v="Phone Co."/>
    <x v="16"/>
    <n v="-40"/>
    <x v="0"/>
    <x v="4"/>
    <x v="1"/>
    <x v="0"/>
    <x v="7"/>
  </r>
  <r>
    <x v="2"/>
    <x v="207"/>
    <s v="Sam's Gifts"/>
    <x v="14"/>
    <n v="-52.1"/>
    <x v="0"/>
    <x v="6"/>
    <x v="1"/>
    <x v="0"/>
    <x v="7"/>
  </r>
  <r>
    <x v="2"/>
    <x v="207"/>
    <s v="Streaming Co."/>
    <x v="11"/>
    <n v="-35"/>
    <x v="0"/>
    <x v="6"/>
    <x v="1"/>
    <x v="0"/>
    <x v="7"/>
  </r>
  <r>
    <x v="2"/>
    <x v="207"/>
    <s v="Ground"/>
    <x v="2"/>
    <n v="-5"/>
    <x v="0"/>
    <x v="2"/>
    <x v="1"/>
    <x v="0"/>
    <x v="7"/>
  </r>
  <r>
    <x v="2"/>
    <x v="208"/>
    <s v="Ground"/>
    <x v="2"/>
    <n v="-5"/>
    <x v="0"/>
    <x v="2"/>
    <x v="1"/>
    <x v="0"/>
    <x v="7"/>
  </r>
  <r>
    <x v="2"/>
    <x v="209"/>
    <s v="Ground"/>
    <x v="2"/>
    <n v="-5"/>
    <x v="0"/>
    <x v="2"/>
    <x v="1"/>
    <x v="0"/>
    <x v="7"/>
  </r>
  <r>
    <x v="2"/>
    <x v="209"/>
    <s v="Green's"/>
    <x v="5"/>
    <n v="-177"/>
    <x v="0"/>
    <x v="4"/>
    <x v="1"/>
    <x v="0"/>
    <x v="7"/>
  </r>
  <r>
    <x v="2"/>
    <x v="210"/>
    <s v="Pizza Pomodoro"/>
    <x v="12"/>
    <n v="-44.2"/>
    <x v="0"/>
    <x v="3"/>
    <x v="2"/>
    <x v="0"/>
    <x v="7"/>
  </r>
  <r>
    <x v="2"/>
    <x v="211"/>
    <s v="Golden Arches"/>
    <x v="12"/>
    <n v="-19.2"/>
    <x v="0"/>
    <x v="3"/>
    <x v="2"/>
    <x v="0"/>
    <x v="7"/>
  </r>
  <r>
    <x v="0"/>
    <x v="212"/>
    <s v="Worldvision"/>
    <x v="10"/>
    <n v="-55"/>
    <x v="0"/>
    <x v="8"/>
    <x v="1"/>
    <x v="0"/>
    <x v="7"/>
  </r>
  <r>
    <x v="2"/>
    <x v="212"/>
    <s v="Fuel. Co"/>
    <x v="7"/>
    <n v="-69.700000000000017"/>
    <x v="0"/>
    <x v="5"/>
    <x v="1"/>
    <x v="0"/>
    <x v="7"/>
  </r>
  <r>
    <x v="2"/>
    <x v="212"/>
    <s v="Ground"/>
    <x v="2"/>
    <n v="-5"/>
    <x v="0"/>
    <x v="2"/>
    <x v="1"/>
    <x v="0"/>
    <x v="7"/>
  </r>
  <r>
    <x v="2"/>
    <x v="213"/>
    <s v="Ground"/>
    <x v="2"/>
    <n v="-5"/>
    <x v="0"/>
    <x v="2"/>
    <x v="1"/>
    <x v="0"/>
    <x v="7"/>
  </r>
  <r>
    <x v="2"/>
    <x v="214"/>
    <s v="Ground"/>
    <x v="2"/>
    <n v="-5"/>
    <x v="0"/>
    <x v="2"/>
    <x v="1"/>
    <x v="0"/>
    <x v="7"/>
  </r>
  <r>
    <x v="2"/>
    <x v="215"/>
    <s v="Ground"/>
    <x v="2"/>
    <n v="-5"/>
    <x v="0"/>
    <x v="2"/>
    <x v="1"/>
    <x v="0"/>
    <x v="7"/>
  </r>
  <r>
    <x v="2"/>
    <x v="216"/>
    <s v="Ground"/>
    <x v="2"/>
    <n v="-5"/>
    <x v="0"/>
    <x v="2"/>
    <x v="1"/>
    <x v="0"/>
    <x v="7"/>
  </r>
  <r>
    <x v="2"/>
    <x v="216"/>
    <s v="Green's"/>
    <x v="5"/>
    <n v="-117"/>
    <x v="0"/>
    <x v="4"/>
    <x v="1"/>
    <x v="0"/>
    <x v="7"/>
  </r>
  <r>
    <x v="2"/>
    <x v="217"/>
    <s v="Ted's Trainers"/>
    <x v="8"/>
    <n v="-131.9"/>
    <x v="0"/>
    <x v="6"/>
    <x v="1"/>
    <x v="0"/>
    <x v="7"/>
  </r>
  <r>
    <x v="2"/>
    <x v="217"/>
    <s v="Ticketek"/>
    <x v="11"/>
    <n v="-182.39999999999998"/>
    <x v="0"/>
    <x v="6"/>
    <x v="1"/>
    <x v="0"/>
    <x v="7"/>
  </r>
  <r>
    <x v="2"/>
    <x v="218"/>
    <s v="Fashionistas"/>
    <x v="8"/>
    <n v="-152.29999999999998"/>
    <x v="0"/>
    <x v="6"/>
    <x v="1"/>
    <x v="0"/>
    <x v="7"/>
  </r>
  <r>
    <x v="2"/>
    <x v="218"/>
    <s v="Taxi Co."/>
    <x v="13"/>
    <n v="-30.300000000000004"/>
    <x v="0"/>
    <x v="3"/>
    <x v="2"/>
    <x v="0"/>
    <x v="7"/>
  </r>
  <r>
    <x v="2"/>
    <x v="218"/>
    <s v="Foodary"/>
    <x v="12"/>
    <n v="-15"/>
    <x v="0"/>
    <x v="3"/>
    <x v="2"/>
    <x v="0"/>
    <x v="7"/>
  </r>
  <r>
    <x v="2"/>
    <x v="219"/>
    <s v="Ground"/>
    <x v="2"/>
    <n v="-5"/>
    <x v="0"/>
    <x v="2"/>
    <x v="1"/>
    <x v="0"/>
    <x v="7"/>
  </r>
  <r>
    <x v="2"/>
    <x v="220"/>
    <s v="Ground"/>
    <x v="2"/>
    <n v="-5"/>
    <x v="0"/>
    <x v="2"/>
    <x v="1"/>
    <x v="0"/>
    <x v="8"/>
  </r>
  <r>
    <x v="0"/>
    <x v="220"/>
    <s v="ACME Pty Ltd"/>
    <x v="0"/>
    <n v="4000"/>
    <x v="0"/>
    <x v="0"/>
    <x v="0"/>
    <x v="0"/>
    <x v="8"/>
  </r>
  <r>
    <x v="1"/>
    <x v="220"/>
    <s v="Interest"/>
    <x v="1"/>
    <n v="43"/>
    <x v="0"/>
    <x v="1"/>
    <x v="0"/>
    <x v="0"/>
    <x v="8"/>
  </r>
  <r>
    <x v="2"/>
    <x v="221"/>
    <s v="Ground"/>
    <x v="2"/>
    <n v="-5"/>
    <x v="0"/>
    <x v="2"/>
    <x v="1"/>
    <x v="0"/>
    <x v="8"/>
  </r>
  <r>
    <x v="0"/>
    <x v="222"/>
    <s v="Estate Mgt."/>
    <x v="3"/>
    <n v="-900"/>
    <x v="0"/>
    <x v="3"/>
    <x v="2"/>
    <x v="0"/>
    <x v="8"/>
  </r>
  <r>
    <x v="0"/>
    <x v="222"/>
    <s v="Finance Co."/>
    <x v="4"/>
    <n v="-150"/>
    <x v="0"/>
    <x v="3"/>
    <x v="2"/>
    <x v="0"/>
    <x v="8"/>
  </r>
  <r>
    <x v="2"/>
    <x v="222"/>
    <s v="Ground"/>
    <x v="2"/>
    <n v="-5"/>
    <x v="0"/>
    <x v="2"/>
    <x v="1"/>
    <x v="0"/>
    <x v="8"/>
  </r>
  <r>
    <x v="2"/>
    <x v="222"/>
    <s v="Ground"/>
    <x v="2"/>
    <n v="-5"/>
    <x v="0"/>
    <x v="2"/>
    <x v="1"/>
    <x v="0"/>
    <x v="8"/>
  </r>
  <r>
    <x v="2"/>
    <x v="223"/>
    <s v="Ground"/>
    <x v="2"/>
    <n v="-5"/>
    <x v="0"/>
    <x v="2"/>
    <x v="1"/>
    <x v="0"/>
    <x v="8"/>
  </r>
  <r>
    <x v="2"/>
    <x v="224"/>
    <s v="Ground"/>
    <x v="2"/>
    <n v="-5"/>
    <x v="0"/>
    <x v="2"/>
    <x v="1"/>
    <x v="0"/>
    <x v="8"/>
  </r>
  <r>
    <x v="2"/>
    <x v="224"/>
    <s v="Green's"/>
    <x v="5"/>
    <n v="-163.39999999999998"/>
    <x v="0"/>
    <x v="4"/>
    <x v="1"/>
    <x v="0"/>
    <x v="8"/>
  </r>
  <r>
    <x v="0"/>
    <x v="225"/>
    <s v="Elec. Co."/>
    <x v="6"/>
    <n v="-58.1"/>
    <x v="0"/>
    <x v="3"/>
    <x v="2"/>
    <x v="0"/>
    <x v="8"/>
  </r>
  <r>
    <x v="2"/>
    <x v="225"/>
    <s v="Ground"/>
    <x v="2"/>
    <n v="-5"/>
    <x v="0"/>
    <x v="2"/>
    <x v="1"/>
    <x v="0"/>
    <x v="8"/>
  </r>
  <r>
    <x v="2"/>
    <x v="226"/>
    <s v="Ground"/>
    <x v="2"/>
    <n v="-5"/>
    <x v="0"/>
    <x v="2"/>
    <x v="1"/>
    <x v="0"/>
    <x v="8"/>
  </r>
  <r>
    <x v="2"/>
    <x v="227"/>
    <s v="Fuel. Co"/>
    <x v="7"/>
    <n v="-85.299999999999983"/>
    <x v="0"/>
    <x v="5"/>
    <x v="1"/>
    <x v="0"/>
    <x v="8"/>
  </r>
  <r>
    <x v="2"/>
    <x v="227"/>
    <s v="Ground"/>
    <x v="2"/>
    <n v="-5"/>
    <x v="0"/>
    <x v="2"/>
    <x v="1"/>
    <x v="0"/>
    <x v="8"/>
  </r>
  <r>
    <x v="2"/>
    <x v="228"/>
    <s v="Ground"/>
    <x v="2"/>
    <n v="-5"/>
    <x v="0"/>
    <x v="2"/>
    <x v="1"/>
    <x v="0"/>
    <x v="8"/>
  </r>
  <r>
    <x v="2"/>
    <x v="229"/>
    <s v="Green's"/>
    <x v="5"/>
    <n v="-143"/>
    <x v="0"/>
    <x v="4"/>
    <x v="1"/>
    <x v="0"/>
    <x v="8"/>
  </r>
  <r>
    <x v="2"/>
    <x v="229"/>
    <s v="Ground"/>
    <x v="2"/>
    <n v="-5"/>
    <x v="0"/>
    <x v="2"/>
    <x v="1"/>
    <x v="0"/>
    <x v="8"/>
  </r>
  <r>
    <x v="2"/>
    <x v="230"/>
    <s v="Ground"/>
    <x v="2"/>
    <n v="-5"/>
    <x v="0"/>
    <x v="2"/>
    <x v="1"/>
    <x v="0"/>
    <x v="8"/>
  </r>
  <r>
    <x v="2"/>
    <x v="230"/>
    <s v="Event Cinemas"/>
    <x v="11"/>
    <n v="-47.8"/>
    <x v="0"/>
    <x v="6"/>
    <x v="1"/>
    <x v="0"/>
    <x v="8"/>
  </r>
  <r>
    <x v="2"/>
    <x v="230"/>
    <s v="Fashionistas"/>
    <x v="8"/>
    <n v="-105.80000000000001"/>
    <x v="0"/>
    <x v="6"/>
    <x v="1"/>
    <x v="0"/>
    <x v="8"/>
  </r>
  <r>
    <x v="2"/>
    <x v="230"/>
    <s v="Joe's Grill"/>
    <x v="12"/>
    <n v="-60.1"/>
    <x v="0"/>
    <x v="3"/>
    <x v="2"/>
    <x v="0"/>
    <x v="8"/>
  </r>
  <r>
    <x v="2"/>
    <x v="231"/>
    <s v="Taxi Co."/>
    <x v="13"/>
    <n v="-36.200000000000003"/>
    <x v="0"/>
    <x v="3"/>
    <x v="2"/>
    <x v="0"/>
    <x v="8"/>
  </r>
  <r>
    <x v="0"/>
    <x v="232"/>
    <s v="Muscle Beach"/>
    <x v="15"/>
    <n v="-30"/>
    <x v="0"/>
    <x v="6"/>
    <x v="1"/>
    <x v="0"/>
    <x v="8"/>
  </r>
  <r>
    <x v="2"/>
    <x v="232"/>
    <s v="Ground"/>
    <x v="2"/>
    <n v="-5"/>
    <x v="0"/>
    <x v="2"/>
    <x v="1"/>
    <x v="0"/>
    <x v="8"/>
  </r>
  <r>
    <x v="2"/>
    <x v="233"/>
    <s v="Ground"/>
    <x v="2"/>
    <n v="-5"/>
    <x v="0"/>
    <x v="2"/>
    <x v="1"/>
    <x v="0"/>
    <x v="8"/>
  </r>
  <r>
    <x v="0"/>
    <x v="233"/>
    <s v="Phone Co."/>
    <x v="16"/>
    <n v="-40"/>
    <x v="0"/>
    <x v="4"/>
    <x v="1"/>
    <x v="0"/>
    <x v="8"/>
  </r>
  <r>
    <x v="2"/>
    <x v="234"/>
    <s v="Sam's Gifts"/>
    <x v="14"/>
    <n v="-53"/>
    <x v="0"/>
    <x v="6"/>
    <x v="1"/>
    <x v="0"/>
    <x v="8"/>
  </r>
  <r>
    <x v="2"/>
    <x v="234"/>
    <s v="Streaming Co."/>
    <x v="11"/>
    <n v="-35"/>
    <x v="0"/>
    <x v="6"/>
    <x v="1"/>
    <x v="0"/>
    <x v="8"/>
  </r>
  <r>
    <x v="2"/>
    <x v="234"/>
    <s v="Ground"/>
    <x v="2"/>
    <n v="-5"/>
    <x v="0"/>
    <x v="2"/>
    <x v="1"/>
    <x v="0"/>
    <x v="8"/>
  </r>
  <r>
    <x v="2"/>
    <x v="235"/>
    <s v="Ground"/>
    <x v="2"/>
    <n v="-5"/>
    <x v="0"/>
    <x v="2"/>
    <x v="1"/>
    <x v="0"/>
    <x v="8"/>
  </r>
  <r>
    <x v="2"/>
    <x v="236"/>
    <s v="Ground"/>
    <x v="2"/>
    <n v="-5"/>
    <x v="0"/>
    <x v="2"/>
    <x v="1"/>
    <x v="0"/>
    <x v="8"/>
  </r>
  <r>
    <x v="2"/>
    <x v="236"/>
    <s v="Green's"/>
    <x v="5"/>
    <n v="-177.9"/>
    <x v="0"/>
    <x v="4"/>
    <x v="1"/>
    <x v="0"/>
    <x v="8"/>
  </r>
  <r>
    <x v="2"/>
    <x v="237"/>
    <s v="Pizza Pomodoro"/>
    <x v="12"/>
    <n v="-45.300000000000004"/>
    <x v="0"/>
    <x v="3"/>
    <x v="2"/>
    <x v="0"/>
    <x v="8"/>
  </r>
  <r>
    <x v="2"/>
    <x v="238"/>
    <s v="Golden Arches"/>
    <x v="12"/>
    <n v="-20.099999999999998"/>
    <x v="0"/>
    <x v="3"/>
    <x v="2"/>
    <x v="0"/>
    <x v="8"/>
  </r>
  <r>
    <x v="0"/>
    <x v="239"/>
    <s v="Worldvision"/>
    <x v="10"/>
    <n v="-55"/>
    <x v="0"/>
    <x v="8"/>
    <x v="1"/>
    <x v="0"/>
    <x v="8"/>
  </r>
  <r>
    <x v="2"/>
    <x v="239"/>
    <s v="Fuel. Co"/>
    <x v="7"/>
    <n v="-70.600000000000023"/>
    <x v="0"/>
    <x v="5"/>
    <x v="1"/>
    <x v="0"/>
    <x v="8"/>
  </r>
  <r>
    <x v="2"/>
    <x v="239"/>
    <s v="Ground"/>
    <x v="2"/>
    <n v="-5"/>
    <x v="0"/>
    <x v="2"/>
    <x v="1"/>
    <x v="0"/>
    <x v="8"/>
  </r>
  <r>
    <x v="2"/>
    <x v="240"/>
    <s v="Ground"/>
    <x v="2"/>
    <n v="-5"/>
    <x v="0"/>
    <x v="2"/>
    <x v="1"/>
    <x v="0"/>
    <x v="8"/>
  </r>
  <r>
    <x v="2"/>
    <x v="241"/>
    <s v="Ground"/>
    <x v="2"/>
    <n v="-5"/>
    <x v="0"/>
    <x v="2"/>
    <x v="1"/>
    <x v="0"/>
    <x v="8"/>
  </r>
  <r>
    <x v="2"/>
    <x v="242"/>
    <s v="Ground"/>
    <x v="2"/>
    <n v="-5"/>
    <x v="0"/>
    <x v="2"/>
    <x v="1"/>
    <x v="0"/>
    <x v="8"/>
  </r>
  <r>
    <x v="2"/>
    <x v="243"/>
    <s v="Ground"/>
    <x v="2"/>
    <n v="-5"/>
    <x v="0"/>
    <x v="2"/>
    <x v="1"/>
    <x v="0"/>
    <x v="8"/>
  </r>
  <r>
    <x v="2"/>
    <x v="243"/>
    <s v="Green's"/>
    <x v="5"/>
    <n v="-223"/>
    <x v="0"/>
    <x v="4"/>
    <x v="1"/>
    <x v="0"/>
    <x v="8"/>
  </r>
  <r>
    <x v="2"/>
    <x v="244"/>
    <s v="Ted's Trainers"/>
    <x v="8"/>
    <n v="-132.9"/>
    <x v="0"/>
    <x v="6"/>
    <x v="1"/>
    <x v="0"/>
    <x v="8"/>
  </r>
  <r>
    <x v="2"/>
    <x v="244"/>
    <s v="Global Fashion"/>
    <x v="8"/>
    <n v="-175"/>
    <x v="0"/>
    <x v="6"/>
    <x v="1"/>
    <x v="0"/>
    <x v="8"/>
  </r>
  <r>
    <x v="2"/>
    <x v="245"/>
    <s v="Fashionistas"/>
    <x v="8"/>
    <n v="-153.39999999999998"/>
    <x v="0"/>
    <x v="6"/>
    <x v="1"/>
    <x v="0"/>
    <x v="8"/>
  </r>
  <r>
    <x v="2"/>
    <x v="245"/>
    <s v="Taxi Co."/>
    <x v="13"/>
    <n v="-31.200000000000003"/>
    <x v="0"/>
    <x v="3"/>
    <x v="2"/>
    <x v="0"/>
    <x v="8"/>
  </r>
  <r>
    <x v="2"/>
    <x v="245"/>
    <s v="Foodary"/>
    <x v="12"/>
    <n v="-15"/>
    <x v="0"/>
    <x v="3"/>
    <x v="2"/>
    <x v="0"/>
    <x v="8"/>
  </r>
  <r>
    <x v="0"/>
    <x v="245"/>
    <s v="Amoogle"/>
    <x v="18"/>
    <n v="1600"/>
    <x v="0"/>
    <x v="1"/>
    <x v="0"/>
    <x v="0"/>
    <x v="8"/>
  </r>
  <r>
    <x v="2"/>
    <x v="246"/>
    <s v="Ground"/>
    <x v="2"/>
    <n v="-5"/>
    <x v="0"/>
    <x v="2"/>
    <x v="1"/>
    <x v="0"/>
    <x v="9"/>
  </r>
  <r>
    <x v="2"/>
    <x v="247"/>
    <s v="Ground"/>
    <x v="2"/>
    <n v="-5"/>
    <x v="0"/>
    <x v="2"/>
    <x v="1"/>
    <x v="0"/>
    <x v="9"/>
  </r>
  <r>
    <x v="0"/>
    <x v="247"/>
    <s v="ACME Pty Ltd"/>
    <x v="0"/>
    <n v="4000"/>
    <x v="0"/>
    <x v="0"/>
    <x v="0"/>
    <x v="0"/>
    <x v="9"/>
  </r>
  <r>
    <x v="1"/>
    <x v="247"/>
    <s v="Interest"/>
    <x v="1"/>
    <n v="44"/>
    <x v="0"/>
    <x v="1"/>
    <x v="0"/>
    <x v="0"/>
    <x v="9"/>
  </r>
  <r>
    <x v="2"/>
    <x v="248"/>
    <s v="Ground"/>
    <x v="2"/>
    <n v="-5"/>
    <x v="0"/>
    <x v="2"/>
    <x v="1"/>
    <x v="0"/>
    <x v="9"/>
  </r>
  <r>
    <x v="0"/>
    <x v="249"/>
    <s v="Estate Mgt."/>
    <x v="3"/>
    <n v="-900"/>
    <x v="0"/>
    <x v="3"/>
    <x v="2"/>
    <x v="0"/>
    <x v="9"/>
  </r>
  <r>
    <x v="0"/>
    <x v="249"/>
    <s v="Finance Co."/>
    <x v="4"/>
    <n v="-150"/>
    <x v="0"/>
    <x v="3"/>
    <x v="2"/>
    <x v="0"/>
    <x v="9"/>
  </r>
  <r>
    <x v="2"/>
    <x v="249"/>
    <s v="Ground"/>
    <x v="2"/>
    <n v="-5"/>
    <x v="0"/>
    <x v="2"/>
    <x v="1"/>
    <x v="0"/>
    <x v="9"/>
  </r>
  <r>
    <x v="2"/>
    <x v="249"/>
    <s v="Ground"/>
    <x v="2"/>
    <n v="-5"/>
    <x v="0"/>
    <x v="2"/>
    <x v="1"/>
    <x v="0"/>
    <x v="9"/>
  </r>
  <r>
    <x v="2"/>
    <x v="250"/>
    <s v="Ground"/>
    <x v="2"/>
    <n v="-5"/>
    <x v="0"/>
    <x v="2"/>
    <x v="1"/>
    <x v="0"/>
    <x v="9"/>
  </r>
  <r>
    <x v="2"/>
    <x v="251"/>
    <s v="Ground"/>
    <x v="2"/>
    <n v="-5"/>
    <x v="0"/>
    <x v="2"/>
    <x v="1"/>
    <x v="0"/>
    <x v="9"/>
  </r>
  <r>
    <x v="2"/>
    <x v="251"/>
    <s v="Green's"/>
    <x v="5"/>
    <n v="-105"/>
    <x v="0"/>
    <x v="4"/>
    <x v="1"/>
    <x v="0"/>
    <x v="9"/>
  </r>
  <r>
    <x v="0"/>
    <x v="252"/>
    <s v="Elec. Co."/>
    <x v="6"/>
    <n v="-59"/>
    <x v="0"/>
    <x v="3"/>
    <x v="2"/>
    <x v="0"/>
    <x v="9"/>
  </r>
  <r>
    <x v="2"/>
    <x v="252"/>
    <s v="Ground"/>
    <x v="2"/>
    <n v="-5"/>
    <x v="0"/>
    <x v="2"/>
    <x v="1"/>
    <x v="0"/>
    <x v="9"/>
  </r>
  <r>
    <x v="2"/>
    <x v="253"/>
    <s v="Ground"/>
    <x v="2"/>
    <n v="-5"/>
    <x v="0"/>
    <x v="2"/>
    <x v="1"/>
    <x v="0"/>
    <x v="9"/>
  </r>
  <r>
    <x v="2"/>
    <x v="254"/>
    <s v="Fuel. Co"/>
    <x v="7"/>
    <n v="-86.399999999999977"/>
    <x v="0"/>
    <x v="5"/>
    <x v="1"/>
    <x v="0"/>
    <x v="9"/>
  </r>
  <r>
    <x v="2"/>
    <x v="254"/>
    <s v="Ground"/>
    <x v="2"/>
    <n v="-5"/>
    <x v="0"/>
    <x v="2"/>
    <x v="1"/>
    <x v="0"/>
    <x v="9"/>
  </r>
  <r>
    <x v="2"/>
    <x v="255"/>
    <s v="Ground"/>
    <x v="2"/>
    <n v="-5"/>
    <x v="0"/>
    <x v="2"/>
    <x v="1"/>
    <x v="0"/>
    <x v="9"/>
  </r>
  <r>
    <x v="2"/>
    <x v="256"/>
    <s v="Green's"/>
    <x v="5"/>
    <n v="-143.9"/>
    <x v="0"/>
    <x v="4"/>
    <x v="1"/>
    <x v="0"/>
    <x v="9"/>
  </r>
  <r>
    <x v="2"/>
    <x v="256"/>
    <s v="Ground"/>
    <x v="2"/>
    <n v="-5"/>
    <x v="0"/>
    <x v="2"/>
    <x v="1"/>
    <x v="0"/>
    <x v="9"/>
  </r>
  <r>
    <x v="2"/>
    <x v="257"/>
    <s v="Ground"/>
    <x v="2"/>
    <n v="-5"/>
    <x v="0"/>
    <x v="2"/>
    <x v="1"/>
    <x v="0"/>
    <x v="9"/>
  </r>
  <r>
    <x v="2"/>
    <x v="257"/>
    <s v="Event Cinemas"/>
    <x v="11"/>
    <n v="-48.8"/>
    <x v="0"/>
    <x v="6"/>
    <x v="1"/>
    <x v="0"/>
    <x v="9"/>
  </r>
  <r>
    <x v="2"/>
    <x v="257"/>
    <s v="Fashionistas"/>
    <x v="8"/>
    <n v="-106.70000000000002"/>
    <x v="0"/>
    <x v="6"/>
    <x v="1"/>
    <x v="0"/>
    <x v="9"/>
  </r>
  <r>
    <x v="2"/>
    <x v="257"/>
    <s v="Joe's Grill"/>
    <x v="12"/>
    <n v="-61.1"/>
    <x v="0"/>
    <x v="3"/>
    <x v="2"/>
    <x v="0"/>
    <x v="9"/>
  </r>
  <r>
    <x v="2"/>
    <x v="258"/>
    <s v="Taxi Co."/>
    <x v="13"/>
    <n v="-37.200000000000003"/>
    <x v="0"/>
    <x v="3"/>
    <x v="2"/>
    <x v="0"/>
    <x v="9"/>
  </r>
  <r>
    <x v="0"/>
    <x v="259"/>
    <s v="Muscle Beach"/>
    <x v="15"/>
    <n v="-30"/>
    <x v="0"/>
    <x v="6"/>
    <x v="1"/>
    <x v="0"/>
    <x v="9"/>
  </r>
  <r>
    <x v="2"/>
    <x v="259"/>
    <s v="Ground"/>
    <x v="2"/>
    <n v="-5"/>
    <x v="0"/>
    <x v="2"/>
    <x v="1"/>
    <x v="0"/>
    <x v="9"/>
  </r>
  <r>
    <x v="2"/>
    <x v="260"/>
    <s v="Ground"/>
    <x v="2"/>
    <n v="-5"/>
    <x v="0"/>
    <x v="2"/>
    <x v="1"/>
    <x v="0"/>
    <x v="9"/>
  </r>
  <r>
    <x v="0"/>
    <x v="260"/>
    <s v="Village Medical"/>
    <x v="17"/>
    <n v="-75"/>
    <x v="0"/>
    <x v="7"/>
    <x v="1"/>
    <x v="0"/>
    <x v="9"/>
  </r>
  <r>
    <x v="0"/>
    <x v="260"/>
    <s v="Phone Co."/>
    <x v="16"/>
    <n v="-40"/>
    <x v="0"/>
    <x v="4"/>
    <x v="1"/>
    <x v="0"/>
    <x v="9"/>
  </r>
  <r>
    <x v="2"/>
    <x v="261"/>
    <s v="Sam's Gifts"/>
    <x v="14"/>
    <n v="-54.1"/>
    <x v="0"/>
    <x v="6"/>
    <x v="1"/>
    <x v="0"/>
    <x v="9"/>
  </r>
  <r>
    <x v="2"/>
    <x v="261"/>
    <s v="Streaming Co."/>
    <x v="11"/>
    <n v="-35"/>
    <x v="0"/>
    <x v="6"/>
    <x v="1"/>
    <x v="0"/>
    <x v="9"/>
  </r>
  <r>
    <x v="2"/>
    <x v="261"/>
    <s v="Ground"/>
    <x v="2"/>
    <n v="-5"/>
    <x v="0"/>
    <x v="2"/>
    <x v="1"/>
    <x v="0"/>
    <x v="9"/>
  </r>
  <r>
    <x v="2"/>
    <x v="262"/>
    <s v="Ground"/>
    <x v="2"/>
    <n v="-5"/>
    <x v="0"/>
    <x v="2"/>
    <x v="1"/>
    <x v="0"/>
    <x v="9"/>
  </r>
  <r>
    <x v="2"/>
    <x v="263"/>
    <s v="Ground"/>
    <x v="2"/>
    <n v="-5"/>
    <x v="0"/>
    <x v="2"/>
    <x v="1"/>
    <x v="0"/>
    <x v="9"/>
  </r>
  <r>
    <x v="2"/>
    <x v="263"/>
    <s v="Green's"/>
    <x v="5"/>
    <n v="-178.9"/>
    <x v="0"/>
    <x v="4"/>
    <x v="1"/>
    <x v="0"/>
    <x v="9"/>
  </r>
  <r>
    <x v="2"/>
    <x v="264"/>
    <s v="Pizza Pomodoro"/>
    <x v="12"/>
    <n v="-46.2"/>
    <x v="0"/>
    <x v="3"/>
    <x v="2"/>
    <x v="0"/>
    <x v="9"/>
  </r>
  <r>
    <x v="2"/>
    <x v="265"/>
    <s v="Golden Arches"/>
    <x v="12"/>
    <n v="-21.099999999999998"/>
    <x v="0"/>
    <x v="3"/>
    <x v="2"/>
    <x v="0"/>
    <x v="9"/>
  </r>
  <r>
    <x v="0"/>
    <x v="266"/>
    <s v="Worldvision"/>
    <x v="10"/>
    <n v="-55"/>
    <x v="0"/>
    <x v="8"/>
    <x v="1"/>
    <x v="0"/>
    <x v="9"/>
  </r>
  <r>
    <x v="2"/>
    <x v="266"/>
    <s v="Fuel. Co"/>
    <x v="7"/>
    <n v="-71.500000000000028"/>
    <x v="0"/>
    <x v="5"/>
    <x v="1"/>
    <x v="0"/>
    <x v="9"/>
  </r>
  <r>
    <x v="2"/>
    <x v="266"/>
    <s v="Ground"/>
    <x v="2"/>
    <n v="-5"/>
    <x v="0"/>
    <x v="2"/>
    <x v="1"/>
    <x v="0"/>
    <x v="9"/>
  </r>
  <r>
    <x v="2"/>
    <x v="267"/>
    <s v="Ground"/>
    <x v="2"/>
    <n v="-5"/>
    <x v="0"/>
    <x v="2"/>
    <x v="1"/>
    <x v="0"/>
    <x v="9"/>
  </r>
  <r>
    <x v="2"/>
    <x v="268"/>
    <s v="Ground"/>
    <x v="2"/>
    <n v="-5"/>
    <x v="0"/>
    <x v="2"/>
    <x v="1"/>
    <x v="0"/>
    <x v="9"/>
  </r>
  <r>
    <x v="2"/>
    <x v="269"/>
    <s v="Ground"/>
    <x v="2"/>
    <n v="-5"/>
    <x v="0"/>
    <x v="2"/>
    <x v="1"/>
    <x v="0"/>
    <x v="9"/>
  </r>
  <r>
    <x v="2"/>
    <x v="270"/>
    <s v="Ground"/>
    <x v="2"/>
    <n v="-5"/>
    <x v="0"/>
    <x v="2"/>
    <x v="1"/>
    <x v="0"/>
    <x v="9"/>
  </r>
  <r>
    <x v="2"/>
    <x v="270"/>
    <s v="Green's"/>
    <x v="5"/>
    <n v="-189"/>
    <x v="0"/>
    <x v="4"/>
    <x v="1"/>
    <x v="0"/>
    <x v="9"/>
  </r>
  <r>
    <x v="2"/>
    <x v="271"/>
    <s v="Ted's Trainers"/>
    <x v="8"/>
    <n v="-133.80000000000001"/>
    <x v="0"/>
    <x v="6"/>
    <x v="1"/>
    <x v="0"/>
    <x v="9"/>
  </r>
  <r>
    <x v="2"/>
    <x v="271"/>
    <s v="Ticketek"/>
    <x v="11"/>
    <n v="-184.39999999999998"/>
    <x v="0"/>
    <x v="6"/>
    <x v="1"/>
    <x v="0"/>
    <x v="9"/>
  </r>
  <r>
    <x v="2"/>
    <x v="272"/>
    <s v="Fashionistas"/>
    <x v="8"/>
    <n v="-154.49999999999997"/>
    <x v="0"/>
    <x v="6"/>
    <x v="1"/>
    <x v="0"/>
    <x v="9"/>
  </r>
  <r>
    <x v="2"/>
    <x v="272"/>
    <s v="Taxi Co."/>
    <x v="13"/>
    <n v="-32.1"/>
    <x v="0"/>
    <x v="3"/>
    <x v="2"/>
    <x v="0"/>
    <x v="9"/>
  </r>
  <r>
    <x v="2"/>
    <x v="272"/>
    <s v="Foodary"/>
    <x v="12"/>
    <n v="-15"/>
    <x v="0"/>
    <x v="3"/>
    <x v="2"/>
    <x v="0"/>
    <x v="9"/>
  </r>
  <r>
    <x v="3"/>
    <x v="1"/>
    <m/>
    <x v="0"/>
    <m/>
    <x v="1"/>
    <x v="0"/>
    <x v="0"/>
    <x v="0"/>
    <x v="0"/>
  </r>
  <r>
    <x v="3"/>
    <x v="27"/>
    <m/>
    <x v="0"/>
    <m/>
    <x v="1"/>
    <x v="0"/>
    <x v="0"/>
    <x v="0"/>
    <x v="1"/>
  </r>
  <r>
    <x v="3"/>
    <x v="53"/>
    <m/>
    <x v="0"/>
    <m/>
    <x v="1"/>
    <x v="0"/>
    <x v="0"/>
    <x v="0"/>
    <x v="2"/>
  </r>
  <r>
    <x v="3"/>
    <x v="82"/>
    <m/>
    <x v="0"/>
    <m/>
    <x v="1"/>
    <x v="0"/>
    <x v="0"/>
    <x v="0"/>
    <x v="3"/>
  </r>
  <r>
    <x v="3"/>
    <x v="273"/>
    <m/>
    <x v="0"/>
    <m/>
    <x v="1"/>
    <x v="0"/>
    <x v="0"/>
    <x v="0"/>
    <x v="4"/>
  </r>
  <r>
    <x v="3"/>
    <x v="138"/>
    <m/>
    <x v="0"/>
    <m/>
    <x v="1"/>
    <x v="0"/>
    <x v="0"/>
    <x v="0"/>
    <x v="5"/>
  </r>
  <r>
    <x v="3"/>
    <x v="165"/>
    <m/>
    <x v="0"/>
    <m/>
    <x v="1"/>
    <x v="0"/>
    <x v="0"/>
    <x v="0"/>
    <x v="6"/>
  </r>
  <r>
    <x v="3"/>
    <x v="274"/>
    <m/>
    <x v="0"/>
    <m/>
    <x v="1"/>
    <x v="0"/>
    <x v="0"/>
    <x v="0"/>
    <x v="7"/>
  </r>
  <r>
    <x v="3"/>
    <x v="275"/>
    <m/>
    <x v="0"/>
    <m/>
    <x v="1"/>
    <x v="0"/>
    <x v="0"/>
    <x v="0"/>
    <x v="8"/>
  </r>
  <r>
    <x v="3"/>
    <x v="246"/>
    <m/>
    <x v="0"/>
    <m/>
    <x v="1"/>
    <x v="0"/>
    <x v="0"/>
    <x v="0"/>
    <x v="9"/>
  </r>
  <r>
    <x v="3"/>
    <x v="276"/>
    <m/>
    <x v="0"/>
    <m/>
    <x v="1"/>
    <x v="0"/>
    <x v="0"/>
    <x v="0"/>
    <x v="10"/>
  </r>
  <r>
    <x v="3"/>
    <x v="277"/>
    <m/>
    <x v="0"/>
    <m/>
    <x v="1"/>
    <x v="0"/>
    <x v="0"/>
    <x v="0"/>
    <x v="11"/>
  </r>
  <r>
    <x v="3"/>
    <x v="1"/>
    <m/>
    <x v="20"/>
    <m/>
    <x v="2"/>
    <x v="9"/>
    <x v="0"/>
    <x v="0"/>
    <x v="0"/>
  </r>
  <r>
    <x v="3"/>
    <x v="27"/>
    <m/>
    <x v="20"/>
    <m/>
    <x v="2"/>
    <x v="9"/>
    <x v="0"/>
    <x v="0"/>
    <x v="1"/>
  </r>
  <r>
    <x v="3"/>
    <x v="53"/>
    <m/>
    <x v="20"/>
    <m/>
    <x v="2"/>
    <x v="9"/>
    <x v="0"/>
    <x v="0"/>
    <x v="2"/>
  </r>
  <r>
    <x v="3"/>
    <x v="82"/>
    <m/>
    <x v="20"/>
    <m/>
    <x v="2"/>
    <x v="9"/>
    <x v="0"/>
    <x v="0"/>
    <x v="3"/>
  </r>
  <r>
    <x v="3"/>
    <x v="273"/>
    <m/>
    <x v="20"/>
    <m/>
    <x v="2"/>
    <x v="9"/>
    <x v="0"/>
    <x v="0"/>
    <x v="4"/>
  </r>
  <r>
    <x v="3"/>
    <x v="138"/>
    <m/>
    <x v="20"/>
    <m/>
    <x v="2"/>
    <x v="9"/>
    <x v="0"/>
    <x v="0"/>
    <x v="5"/>
  </r>
  <r>
    <x v="3"/>
    <x v="165"/>
    <m/>
    <x v="20"/>
    <m/>
    <x v="2"/>
    <x v="9"/>
    <x v="0"/>
    <x v="0"/>
    <x v="6"/>
  </r>
  <r>
    <x v="3"/>
    <x v="274"/>
    <m/>
    <x v="20"/>
    <m/>
    <x v="2"/>
    <x v="9"/>
    <x v="0"/>
    <x v="0"/>
    <x v="7"/>
  </r>
  <r>
    <x v="3"/>
    <x v="275"/>
    <m/>
    <x v="20"/>
    <m/>
    <x v="2"/>
    <x v="9"/>
    <x v="0"/>
    <x v="0"/>
    <x v="8"/>
  </r>
  <r>
    <x v="3"/>
    <x v="246"/>
    <m/>
    <x v="20"/>
    <m/>
    <x v="2"/>
    <x v="9"/>
    <x v="0"/>
    <x v="0"/>
    <x v="9"/>
  </r>
  <r>
    <x v="3"/>
    <x v="276"/>
    <m/>
    <x v="20"/>
    <m/>
    <x v="2"/>
    <x v="9"/>
    <x v="0"/>
    <x v="0"/>
    <x v="10"/>
  </r>
  <r>
    <x v="3"/>
    <x v="277"/>
    <m/>
    <x v="20"/>
    <m/>
    <x v="2"/>
    <x v="9"/>
    <x v="0"/>
    <x v="0"/>
    <x v="11"/>
  </r>
  <r>
    <x v="3"/>
    <x v="1"/>
    <m/>
    <x v="21"/>
    <m/>
    <x v="2"/>
    <x v="9"/>
    <x v="0"/>
    <x v="0"/>
    <x v="0"/>
  </r>
  <r>
    <x v="3"/>
    <x v="27"/>
    <m/>
    <x v="21"/>
    <m/>
    <x v="2"/>
    <x v="9"/>
    <x v="0"/>
    <x v="0"/>
    <x v="1"/>
  </r>
  <r>
    <x v="3"/>
    <x v="53"/>
    <m/>
    <x v="21"/>
    <m/>
    <x v="2"/>
    <x v="9"/>
    <x v="0"/>
    <x v="0"/>
    <x v="2"/>
  </r>
  <r>
    <x v="3"/>
    <x v="82"/>
    <m/>
    <x v="21"/>
    <m/>
    <x v="2"/>
    <x v="9"/>
    <x v="0"/>
    <x v="0"/>
    <x v="3"/>
  </r>
  <r>
    <x v="3"/>
    <x v="273"/>
    <m/>
    <x v="21"/>
    <m/>
    <x v="2"/>
    <x v="9"/>
    <x v="0"/>
    <x v="0"/>
    <x v="4"/>
  </r>
  <r>
    <x v="3"/>
    <x v="138"/>
    <m/>
    <x v="21"/>
    <m/>
    <x v="2"/>
    <x v="9"/>
    <x v="0"/>
    <x v="0"/>
    <x v="5"/>
  </r>
  <r>
    <x v="3"/>
    <x v="165"/>
    <m/>
    <x v="21"/>
    <m/>
    <x v="2"/>
    <x v="9"/>
    <x v="0"/>
    <x v="0"/>
    <x v="6"/>
  </r>
  <r>
    <x v="3"/>
    <x v="274"/>
    <m/>
    <x v="21"/>
    <m/>
    <x v="2"/>
    <x v="9"/>
    <x v="0"/>
    <x v="0"/>
    <x v="7"/>
  </r>
  <r>
    <x v="3"/>
    <x v="275"/>
    <m/>
    <x v="21"/>
    <m/>
    <x v="2"/>
    <x v="9"/>
    <x v="0"/>
    <x v="0"/>
    <x v="8"/>
  </r>
  <r>
    <x v="3"/>
    <x v="246"/>
    <m/>
    <x v="21"/>
    <m/>
    <x v="2"/>
    <x v="9"/>
    <x v="0"/>
    <x v="0"/>
    <x v="9"/>
  </r>
  <r>
    <x v="3"/>
    <x v="276"/>
    <m/>
    <x v="21"/>
    <m/>
    <x v="2"/>
    <x v="9"/>
    <x v="0"/>
    <x v="0"/>
    <x v="10"/>
  </r>
  <r>
    <x v="3"/>
    <x v="277"/>
    <m/>
    <x v="21"/>
    <m/>
    <x v="2"/>
    <x v="9"/>
    <x v="0"/>
    <x v="0"/>
    <x v="11"/>
  </r>
  <r>
    <x v="3"/>
    <x v="1"/>
    <m/>
    <x v="22"/>
    <m/>
    <x v="2"/>
    <x v="9"/>
    <x v="0"/>
    <x v="0"/>
    <x v="0"/>
  </r>
  <r>
    <x v="3"/>
    <x v="27"/>
    <m/>
    <x v="22"/>
    <m/>
    <x v="2"/>
    <x v="9"/>
    <x v="0"/>
    <x v="0"/>
    <x v="1"/>
  </r>
  <r>
    <x v="3"/>
    <x v="53"/>
    <m/>
    <x v="22"/>
    <m/>
    <x v="2"/>
    <x v="9"/>
    <x v="0"/>
    <x v="0"/>
    <x v="2"/>
  </r>
  <r>
    <x v="3"/>
    <x v="82"/>
    <m/>
    <x v="22"/>
    <m/>
    <x v="2"/>
    <x v="9"/>
    <x v="0"/>
    <x v="0"/>
    <x v="3"/>
  </r>
  <r>
    <x v="3"/>
    <x v="273"/>
    <m/>
    <x v="22"/>
    <m/>
    <x v="2"/>
    <x v="9"/>
    <x v="0"/>
    <x v="0"/>
    <x v="4"/>
  </r>
  <r>
    <x v="3"/>
    <x v="138"/>
    <m/>
    <x v="22"/>
    <m/>
    <x v="2"/>
    <x v="9"/>
    <x v="0"/>
    <x v="0"/>
    <x v="5"/>
  </r>
  <r>
    <x v="3"/>
    <x v="165"/>
    <m/>
    <x v="22"/>
    <m/>
    <x v="2"/>
    <x v="9"/>
    <x v="0"/>
    <x v="0"/>
    <x v="6"/>
  </r>
  <r>
    <x v="3"/>
    <x v="274"/>
    <m/>
    <x v="22"/>
    <m/>
    <x v="2"/>
    <x v="9"/>
    <x v="0"/>
    <x v="0"/>
    <x v="7"/>
  </r>
  <r>
    <x v="3"/>
    <x v="275"/>
    <m/>
    <x v="22"/>
    <m/>
    <x v="2"/>
    <x v="9"/>
    <x v="0"/>
    <x v="0"/>
    <x v="8"/>
  </r>
  <r>
    <x v="3"/>
    <x v="246"/>
    <m/>
    <x v="22"/>
    <m/>
    <x v="2"/>
    <x v="9"/>
    <x v="0"/>
    <x v="0"/>
    <x v="9"/>
  </r>
  <r>
    <x v="3"/>
    <x v="276"/>
    <m/>
    <x v="22"/>
    <m/>
    <x v="2"/>
    <x v="9"/>
    <x v="0"/>
    <x v="0"/>
    <x v="10"/>
  </r>
  <r>
    <x v="3"/>
    <x v="277"/>
    <m/>
    <x v="22"/>
    <m/>
    <x v="2"/>
    <x v="9"/>
    <x v="0"/>
    <x v="0"/>
    <x v="11"/>
  </r>
  <r>
    <x v="3"/>
    <x v="1"/>
    <m/>
    <x v="18"/>
    <m/>
    <x v="2"/>
    <x v="1"/>
    <x v="0"/>
    <x v="0"/>
    <x v="0"/>
  </r>
  <r>
    <x v="3"/>
    <x v="27"/>
    <m/>
    <x v="18"/>
    <m/>
    <x v="2"/>
    <x v="1"/>
    <x v="0"/>
    <x v="0"/>
    <x v="1"/>
  </r>
  <r>
    <x v="3"/>
    <x v="53"/>
    <m/>
    <x v="18"/>
    <m/>
    <x v="2"/>
    <x v="1"/>
    <x v="0"/>
    <x v="0"/>
    <x v="2"/>
  </r>
  <r>
    <x v="3"/>
    <x v="82"/>
    <m/>
    <x v="18"/>
    <m/>
    <x v="2"/>
    <x v="1"/>
    <x v="0"/>
    <x v="0"/>
    <x v="3"/>
  </r>
  <r>
    <x v="3"/>
    <x v="273"/>
    <m/>
    <x v="18"/>
    <m/>
    <x v="2"/>
    <x v="1"/>
    <x v="0"/>
    <x v="0"/>
    <x v="4"/>
  </r>
  <r>
    <x v="3"/>
    <x v="138"/>
    <m/>
    <x v="18"/>
    <m/>
    <x v="2"/>
    <x v="1"/>
    <x v="0"/>
    <x v="0"/>
    <x v="5"/>
  </r>
  <r>
    <x v="3"/>
    <x v="165"/>
    <m/>
    <x v="18"/>
    <m/>
    <x v="2"/>
    <x v="1"/>
    <x v="0"/>
    <x v="0"/>
    <x v="6"/>
  </r>
  <r>
    <x v="3"/>
    <x v="274"/>
    <m/>
    <x v="18"/>
    <m/>
    <x v="2"/>
    <x v="1"/>
    <x v="0"/>
    <x v="0"/>
    <x v="7"/>
  </r>
  <r>
    <x v="3"/>
    <x v="275"/>
    <m/>
    <x v="18"/>
    <m/>
    <x v="2"/>
    <x v="1"/>
    <x v="0"/>
    <x v="0"/>
    <x v="8"/>
  </r>
  <r>
    <x v="3"/>
    <x v="246"/>
    <m/>
    <x v="18"/>
    <m/>
    <x v="2"/>
    <x v="1"/>
    <x v="0"/>
    <x v="0"/>
    <x v="9"/>
  </r>
  <r>
    <x v="3"/>
    <x v="276"/>
    <m/>
    <x v="18"/>
    <m/>
    <x v="2"/>
    <x v="1"/>
    <x v="0"/>
    <x v="0"/>
    <x v="10"/>
  </r>
  <r>
    <x v="3"/>
    <x v="277"/>
    <m/>
    <x v="18"/>
    <m/>
    <x v="2"/>
    <x v="1"/>
    <x v="0"/>
    <x v="0"/>
    <x v="11"/>
  </r>
  <r>
    <x v="3"/>
    <x v="1"/>
    <m/>
    <x v="23"/>
    <m/>
    <x v="2"/>
    <x v="1"/>
    <x v="0"/>
    <x v="0"/>
    <x v="0"/>
  </r>
  <r>
    <x v="3"/>
    <x v="27"/>
    <m/>
    <x v="23"/>
    <m/>
    <x v="2"/>
    <x v="1"/>
    <x v="0"/>
    <x v="0"/>
    <x v="1"/>
  </r>
  <r>
    <x v="3"/>
    <x v="53"/>
    <m/>
    <x v="23"/>
    <m/>
    <x v="2"/>
    <x v="1"/>
    <x v="0"/>
    <x v="0"/>
    <x v="2"/>
  </r>
  <r>
    <x v="3"/>
    <x v="82"/>
    <m/>
    <x v="23"/>
    <m/>
    <x v="2"/>
    <x v="1"/>
    <x v="0"/>
    <x v="0"/>
    <x v="3"/>
  </r>
  <r>
    <x v="3"/>
    <x v="273"/>
    <m/>
    <x v="23"/>
    <m/>
    <x v="2"/>
    <x v="1"/>
    <x v="0"/>
    <x v="0"/>
    <x v="4"/>
  </r>
  <r>
    <x v="3"/>
    <x v="138"/>
    <m/>
    <x v="23"/>
    <m/>
    <x v="2"/>
    <x v="1"/>
    <x v="0"/>
    <x v="0"/>
    <x v="5"/>
  </r>
  <r>
    <x v="3"/>
    <x v="165"/>
    <m/>
    <x v="23"/>
    <m/>
    <x v="2"/>
    <x v="1"/>
    <x v="0"/>
    <x v="0"/>
    <x v="6"/>
  </r>
  <r>
    <x v="3"/>
    <x v="274"/>
    <m/>
    <x v="23"/>
    <m/>
    <x v="2"/>
    <x v="1"/>
    <x v="0"/>
    <x v="0"/>
    <x v="7"/>
  </r>
  <r>
    <x v="3"/>
    <x v="275"/>
    <m/>
    <x v="23"/>
    <m/>
    <x v="2"/>
    <x v="1"/>
    <x v="0"/>
    <x v="0"/>
    <x v="8"/>
  </r>
  <r>
    <x v="3"/>
    <x v="246"/>
    <m/>
    <x v="23"/>
    <m/>
    <x v="2"/>
    <x v="1"/>
    <x v="0"/>
    <x v="0"/>
    <x v="9"/>
  </r>
  <r>
    <x v="3"/>
    <x v="276"/>
    <m/>
    <x v="23"/>
    <m/>
    <x v="2"/>
    <x v="1"/>
    <x v="0"/>
    <x v="0"/>
    <x v="10"/>
  </r>
  <r>
    <x v="3"/>
    <x v="277"/>
    <m/>
    <x v="23"/>
    <m/>
    <x v="2"/>
    <x v="1"/>
    <x v="0"/>
    <x v="0"/>
    <x v="11"/>
  </r>
  <r>
    <x v="3"/>
    <x v="1"/>
    <m/>
    <x v="1"/>
    <m/>
    <x v="2"/>
    <x v="1"/>
    <x v="0"/>
    <x v="0"/>
    <x v="0"/>
  </r>
  <r>
    <x v="3"/>
    <x v="27"/>
    <m/>
    <x v="1"/>
    <m/>
    <x v="2"/>
    <x v="1"/>
    <x v="0"/>
    <x v="0"/>
    <x v="1"/>
  </r>
  <r>
    <x v="3"/>
    <x v="53"/>
    <m/>
    <x v="1"/>
    <m/>
    <x v="2"/>
    <x v="1"/>
    <x v="0"/>
    <x v="0"/>
    <x v="2"/>
  </r>
  <r>
    <x v="3"/>
    <x v="82"/>
    <m/>
    <x v="1"/>
    <m/>
    <x v="2"/>
    <x v="1"/>
    <x v="0"/>
    <x v="0"/>
    <x v="3"/>
  </r>
  <r>
    <x v="3"/>
    <x v="273"/>
    <m/>
    <x v="1"/>
    <m/>
    <x v="2"/>
    <x v="1"/>
    <x v="0"/>
    <x v="0"/>
    <x v="4"/>
  </r>
  <r>
    <x v="3"/>
    <x v="138"/>
    <m/>
    <x v="1"/>
    <m/>
    <x v="2"/>
    <x v="1"/>
    <x v="0"/>
    <x v="0"/>
    <x v="5"/>
  </r>
  <r>
    <x v="3"/>
    <x v="165"/>
    <m/>
    <x v="1"/>
    <m/>
    <x v="2"/>
    <x v="1"/>
    <x v="0"/>
    <x v="0"/>
    <x v="6"/>
  </r>
  <r>
    <x v="3"/>
    <x v="274"/>
    <m/>
    <x v="1"/>
    <m/>
    <x v="2"/>
    <x v="1"/>
    <x v="0"/>
    <x v="0"/>
    <x v="7"/>
  </r>
  <r>
    <x v="3"/>
    <x v="275"/>
    <m/>
    <x v="1"/>
    <m/>
    <x v="2"/>
    <x v="1"/>
    <x v="0"/>
    <x v="0"/>
    <x v="8"/>
  </r>
  <r>
    <x v="3"/>
    <x v="246"/>
    <m/>
    <x v="1"/>
    <m/>
    <x v="2"/>
    <x v="1"/>
    <x v="0"/>
    <x v="0"/>
    <x v="9"/>
  </r>
  <r>
    <x v="3"/>
    <x v="276"/>
    <m/>
    <x v="1"/>
    <m/>
    <x v="2"/>
    <x v="1"/>
    <x v="0"/>
    <x v="0"/>
    <x v="10"/>
  </r>
  <r>
    <x v="3"/>
    <x v="277"/>
    <m/>
    <x v="1"/>
    <m/>
    <x v="2"/>
    <x v="1"/>
    <x v="0"/>
    <x v="0"/>
    <x v="11"/>
  </r>
  <r>
    <x v="3"/>
    <x v="1"/>
    <m/>
    <x v="24"/>
    <m/>
    <x v="2"/>
    <x v="9"/>
    <x v="0"/>
    <x v="0"/>
    <x v="0"/>
  </r>
  <r>
    <x v="3"/>
    <x v="27"/>
    <m/>
    <x v="24"/>
    <m/>
    <x v="2"/>
    <x v="9"/>
    <x v="0"/>
    <x v="0"/>
    <x v="1"/>
  </r>
  <r>
    <x v="3"/>
    <x v="53"/>
    <m/>
    <x v="24"/>
    <m/>
    <x v="2"/>
    <x v="9"/>
    <x v="0"/>
    <x v="0"/>
    <x v="2"/>
  </r>
  <r>
    <x v="3"/>
    <x v="82"/>
    <m/>
    <x v="24"/>
    <m/>
    <x v="2"/>
    <x v="9"/>
    <x v="0"/>
    <x v="0"/>
    <x v="3"/>
  </r>
  <r>
    <x v="3"/>
    <x v="273"/>
    <m/>
    <x v="24"/>
    <m/>
    <x v="2"/>
    <x v="9"/>
    <x v="0"/>
    <x v="0"/>
    <x v="4"/>
  </r>
  <r>
    <x v="3"/>
    <x v="138"/>
    <m/>
    <x v="24"/>
    <m/>
    <x v="2"/>
    <x v="9"/>
    <x v="0"/>
    <x v="0"/>
    <x v="5"/>
  </r>
  <r>
    <x v="3"/>
    <x v="165"/>
    <m/>
    <x v="24"/>
    <m/>
    <x v="2"/>
    <x v="9"/>
    <x v="0"/>
    <x v="0"/>
    <x v="6"/>
  </r>
  <r>
    <x v="3"/>
    <x v="274"/>
    <m/>
    <x v="24"/>
    <m/>
    <x v="2"/>
    <x v="9"/>
    <x v="0"/>
    <x v="0"/>
    <x v="7"/>
  </r>
  <r>
    <x v="3"/>
    <x v="275"/>
    <m/>
    <x v="24"/>
    <m/>
    <x v="2"/>
    <x v="9"/>
    <x v="0"/>
    <x v="0"/>
    <x v="8"/>
  </r>
  <r>
    <x v="3"/>
    <x v="246"/>
    <m/>
    <x v="24"/>
    <m/>
    <x v="2"/>
    <x v="9"/>
    <x v="0"/>
    <x v="0"/>
    <x v="9"/>
  </r>
  <r>
    <x v="3"/>
    <x v="276"/>
    <m/>
    <x v="24"/>
    <m/>
    <x v="2"/>
    <x v="9"/>
    <x v="0"/>
    <x v="0"/>
    <x v="10"/>
  </r>
  <r>
    <x v="3"/>
    <x v="277"/>
    <m/>
    <x v="24"/>
    <m/>
    <x v="2"/>
    <x v="9"/>
    <x v="0"/>
    <x v="0"/>
    <x v="11"/>
  </r>
  <r>
    <x v="3"/>
    <x v="1"/>
    <m/>
    <x v="25"/>
    <m/>
    <x v="2"/>
    <x v="0"/>
    <x v="0"/>
    <x v="0"/>
    <x v="0"/>
  </r>
  <r>
    <x v="3"/>
    <x v="27"/>
    <m/>
    <x v="25"/>
    <m/>
    <x v="2"/>
    <x v="0"/>
    <x v="0"/>
    <x v="0"/>
    <x v="1"/>
  </r>
  <r>
    <x v="3"/>
    <x v="53"/>
    <m/>
    <x v="25"/>
    <m/>
    <x v="2"/>
    <x v="0"/>
    <x v="0"/>
    <x v="0"/>
    <x v="2"/>
  </r>
  <r>
    <x v="3"/>
    <x v="82"/>
    <m/>
    <x v="25"/>
    <m/>
    <x v="2"/>
    <x v="0"/>
    <x v="0"/>
    <x v="0"/>
    <x v="3"/>
  </r>
  <r>
    <x v="3"/>
    <x v="273"/>
    <m/>
    <x v="25"/>
    <m/>
    <x v="2"/>
    <x v="0"/>
    <x v="0"/>
    <x v="0"/>
    <x v="4"/>
  </r>
  <r>
    <x v="3"/>
    <x v="138"/>
    <m/>
    <x v="25"/>
    <m/>
    <x v="2"/>
    <x v="0"/>
    <x v="0"/>
    <x v="0"/>
    <x v="5"/>
  </r>
  <r>
    <x v="3"/>
    <x v="165"/>
    <m/>
    <x v="25"/>
    <m/>
    <x v="2"/>
    <x v="0"/>
    <x v="0"/>
    <x v="0"/>
    <x v="6"/>
  </r>
  <r>
    <x v="3"/>
    <x v="274"/>
    <m/>
    <x v="25"/>
    <m/>
    <x v="2"/>
    <x v="0"/>
    <x v="0"/>
    <x v="0"/>
    <x v="7"/>
  </r>
  <r>
    <x v="3"/>
    <x v="275"/>
    <m/>
    <x v="25"/>
    <m/>
    <x v="2"/>
    <x v="0"/>
    <x v="0"/>
    <x v="0"/>
    <x v="8"/>
  </r>
  <r>
    <x v="3"/>
    <x v="246"/>
    <m/>
    <x v="25"/>
    <m/>
    <x v="2"/>
    <x v="0"/>
    <x v="0"/>
    <x v="0"/>
    <x v="9"/>
  </r>
  <r>
    <x v="3"/>
    <x v="276"/>
    <m/>
    <x v="25"/>
    <m/>
    <x v="2"/>
    <x v="0"/>
    <x v="0"/>
    <x v="0"/>
    <x v="10"/>
  </r>
  <r>
    <x v="3"/>
    <x v="277"/>
    <m/>
    <x v="25"/>
    <m/>
    <x v="2"/>
    <x v="0"/>
    <x v="0"/>
    <x v="0"/>
    <x v="11"/>
  </r>
  <r>
    <x v="3"/>
    <x v="1"/>
    <m/>
    <x v="26"/>
    <m/>
    <x v="3"/>
    <x v="9"/>
    <x v="1"/>
    <x v="0"/>
    <x v="0"/>
  </r>
  <r>
    <x v="3"/>
    <x v="27"/>
    <m/>
    <x v="26"/>
    <m/>
    <x v="3"/>
    <x v="9"/>
    <x v="1"/>
    <x v="0"/>
    <x v="1"/>
  </r>
  <r>
    <x v="3"/>
    <x v="53"/>
    <m/>
    <x v="26"/>
    <m/>
    <x v="3"/>
    <x v="9"/>
    <x v="1"/>
    <x v="0"/>
    <x v="2"/>
  </r>
  <r>
    <x v="3"/>
    <x v="82"/>
    <m/>
    <x v="26"/>
    <m/>
    <x v="3"/>
    <x v="9"/>
    <x v="1"/>
    <x v="0"/>
    <x v="3"/>
  </r>
  <r>
    <x v="3"/>
    <x v="273"/>
    <m/>
    <x v="26"/>
    <m/>
    <x v="3"/>
    <x v="9"/>
    <x v="1"/>
    <x v="0"/>
    <x v="4"/>
  </r>
  <r>
    <x v="3"/>
    <x v="138"/>
    <m/>
    <x v="26"/>
    <m/>
    <x v="3"/>
    <x v="9"/>
    <x v="1"/>
    <x v="0"/>
    <x v="5"/>
  </r>
  <r>
    <x v="3"/>
    <x v="165"/>
    <m/>
    <x v="26"/>
    <m/>
    <x v="3"/>
    <x v="9"/>
    <x v="1"/>
    <x v="0"/>
    <x v="6"/>
  </r>
  <r>
    <x v="3"/>
    <x v="274"/>
    <m/>
    <x v="26"/>
    <m/>
    <x v="3"/>
    <x v="9"/>
    <x v="1"/>
    <x v="0"/>
    <x v="7"/>
  </r>
  <r>
    <x v="3"/>
    <x v="275"/>
    <m/>
    <x v="26"/>
    <m/>
    <x v="3"/>
    <x v="9"/>
    <x v="1"/>
    <x v="0"/>
    <x v="8"/>
  </r>
  <r>
    <x v="3"/>
    <x v="246"/>
    <m/>
    <x v="26"/>
    <m/>
    <x v="3"/>
    <x v="9"/>
    <x v="1"/>
    <x v="0"/>
    <x v="9"/>
  </r>
  <r>
    <x v="3"/>
    <x v="276"/>
    <m/>
    <x v="26"/>
    <m/>
    <x v="3"/>
    <x v="9"/>
    <x v="1"/>
    <x v="0"/>
    <x v="10"/>
  </r>
  <r>
    <x v="3"/>
    <x v="277"/>
    <m/>
    <x v="26"/>
    <m/>
    <x v="3"/>
    <x v="9"/>
    <x v="1"/>
    <x v="0"/>
    <x v="11"/>
  </r>
  <r>
    <x v="3"/>
    <x v="1"/>
    <m/>
    <x v="27"/>
    <m/>
    <x v="4"/>
    <x v="0"/>
    <x v="1"/>
    <x v="0"/>
    <x v="0"/>
  </r>
  <r>
    <x v="3"/>
    <x v="27"/>
    <m/>
    <x v="27"/>
    <m/>
    <x v="4"/>
    <x v="0"/>
    <x v="1"/>
    <x v="0"/>
    <x v="1"/>
  </r>
  <r>
    <x v="3"/>
    <x v="53"/>
    <m/>
    <x v="27"/>
    <m/>
    <x v="4"/>
    <x v="0"/>
    <x v="1"/>
    <x v="0"/>
    <x v="2"/>
  </r>
  <r>
    <x v="3"/>
    <x v="82"/>
    <m/>
    <x v="27"/>
    <m/>
    <x v="4"/>
    <x v="0"/>
    <x v="1"/>
    <x v="0"/>
    <x v="3"/>
  </r>
  <r>
    <x v="3"/>
    <x v="273"/>
    <m/>
    <x v="27"/>
    <m/>
    <x v="4"/>
    <x v="0"/>
    <x v="1"/>
    <x v="0"/>
    <x v="4"/>
  </r>
  <r>
    <x v="3"/>
    <x v="138"/>
    <m/>
    <x v="27"/>
    <m/>
    <x v="4"/>
    <x v="0"/>
    <x v="1"/>
    <x v="0"/>
    <x v="5"/>
  </r>
  <r>
    <x v="3"/>
    <x v="165"/>
    <m/>
    <x v="27"/>
    <m/>
    <x v="4"/>
    <x v="0"/>
    <x v="1"/>
    <x v="0"/>
    <x v="6"/>
  </r>
  <r>
    <x v="3"/>
    <x v="274"/>
    <m/>
    <x v="27"/>
    <m/>
    <x v="4"/>
    <x v="0"/>
    <x v="1"/>
    <x v="0"/>
    <x v="7"/>
  </r>
  <r>
    <x v="3"/>
    <x v="275"/>
    <m/>
    <x v="27"/>
    <m/>
    <x v="4"/>
    <x v="0"/>
    <x v="1"/>
    <x v="0"/>
    <x v="8"/>
  </r>
  <r>
    <x v="3"/>
    <x v="246"/>
    <m/>
    <x v="27"/>
    <m/>
    <x v="4"/>
    <x v="0"/>
    <x v="1"/>
    <x v="0"/>
    <x v="9"/>
  </r>
  <r>
    <x v="3"/>
    <x v="276"/>
    <m/>
    <x v="27"/>
    <m/>
    <x v="4"/>
    <x v="0"/>
    <x v="1"/>
    <x v="0"/>
    <x v="10"/>
  </r>
  <r>
    <x v="3"/>
    <x v="277"/>
    <m/>
    <x v="27"/>
    <m/>
    <x v="4"/>
    <x v="0"/>
    <x v="1"/>
    <x v="0"/>
    <x v="11"/>
  </r>
  <r>
    <x v="3"/>
    <x v="1"/>
    <m/>
    <x v="28"/>
    <m/>
    <x v="5"/>
    <x v="6"/>
    <x v="1"/>
    <x v="0"/>
    <x v="0"/>
  </r>
  <r>
    <x v="3"/>
    <x v="27"/>
    <m/>
    <x v="28"/>
    <m/>
    <x v="5"/>
    <x v="6"/>
    <x v="1"/>
    <x v="0"/>
    <x v="1"/>
  </r>
  <r>
    <x v="3"/>
    <x v="53"/>
    <m/>
    <x v="28"/>
    <m/>
    <x v="5"/>
    <x v="6"/>
    <x v="1"/>
    <x v="0"/>
    <x v="2"/>
  </r>
  <r>
    <x v="3"/>
    <x v="82"/>
    <m/>
    <x v="28"/>
    <m/>
    <x v="5"/>
    <x v="6"/>
    <x v="1"/>
    <x v="0"/>
    <x v="3"/>
  </r>
  <r>
    <x v="3"/>
    <x v="273"/>
    <m/>
    <x v="28"/>
    <m/>
    <x v="5"/>
    <x v="6"/>
    <x v="1"/>
    <x v="0"/>
    <x v="4"/>
  </r>
  <r>
    <x v="3"/>
    <x v="138"/>
    <m/>
    <x v="28"/>
    <m/>
    <x v="5"/>
    <x v="6"/>
    <x v="1"/>
    <x v="0"/>
    <x v="5"/>
  </r>
  <r>
    <x v="3"/>
    <x v="165"/>
    <m/>
    <x v="28"/>
    <m/>
    <x v="5"/>
    <x v="6"/>
    <x v="1"/>
    <x v="0"/>
    <x v="6"/>
  </r>
  <r>
    <x v="3"/>
    <x v="274"/>
    <m/>
    <x v="28"/>
    <m/>
    <x v="5"/>
    <x v="6"/>
    <x v="1"/>
    <x v="0"/>
    <x v="7"/>
  </r>
  <r>
    <x v="3"/>
    <x v="275"/>
    <m/>
    <x v="28"/>
    <m/>
    <x v="5"/>
    <x v="6"/>
    <x v="1"/>
    <x v="0"/>
    <x v="8"/>
  </r>
  <r>
    <x v="3"/>
    <x v="246"/>
    <m/>
    <x v="28"/>
    <m/>
    <x v="5"/>
    <x v="6"/>
    <x v="1"/>
    <x v="0"/>
    <x v="9"/>
  </r>
  <r>
    <x v="3"/>
    <x v="276"/>
    <m/>
    <x v="28"/>
    <m/>
    <x v="5"/>
    <x v="6"/>
    <x v="1"/>
    <x v="0"/>
    <x v="10"/>
  </r>
  <r>
    <x v="3"/>
    <x v="277"/>
    <m/>
    <x v="28"/>
    <m/>
    <x v="5"/>
    <x v="6"/>
    <x v="1"/>
    <x v="0"/>
    <x v="11"/>
  </r>
  <r>
    <x v="3"/>
    <x v="1"/>
    <m/>
    <x v="29"/>
    <m/>
    <x v="6"/>
    <x v="1"/>
    <x v="1"/>
    <x v="0"/>
    <x v="0"/>
  </r>
  <r>
    <x v="3"/>
    <x v="27"/>
    <m/>
    <x v="29"/>
    <m/>
    <x v="6"/>
    <x v="1"/>
    <x v="1"/>
    <x v="0"/>
    <x v="1"/>
  </r>
  <r>
    <x v="3"/>
    <x v="53"/>
    <m/>
    <x v="29"/>
    <m/>
    <x v="6"/>
    <x v="1"/>
    <x v="1"/>
    <x v="0"/>
    <x v="2"/>
  </r>
  <r>
    <x v="3"/>
    <x v="82"/>
    <m/>
    <x v="29"/>
    <m/>
    <x v="6"/>
    <x v="1"/>
    <x v="1"/>
    <x v="0"/>
    <x v="3"/>
  </r>
  <r>
    <x v="3"/>
    <x v="273"/>
    <m/>
    <x v="29"/>
    <m/>
    <x v="6"/>
    <x v="1"/>
    <x v="1"/>
    <x v="0"/>
    <x v="4"/>
  </r>
  <r>
    <x v="3"/>
    <x v="138"/>
    <m/>
    <x v="29"/>
    <m/>
    <x v="6"/>
    <x v="1"/>
    <x v="1"/>
    <x v="0"/>
    <x v="5"/>
  </r>
  <r>
    <x v="3"/>
    <x v="165"/>
    <m/>
    <x v="29"/>
    <m/>
    <x v="6"/>
    <x v="1"/>
    <x v="1"/>
    <x v="0"/>
    <x v="6"/>
  </r>
  <r>
    <x v="3"/>
    <x v="274"/>
    <m/>
    <x v="29"/>
    <m/>
    <x v="6"/>
    <x v="1"/>
    <x v="1"/>
    <x v="0"/>
    <x v="7"/>
  </r>
  <r>
    <x v="3"/>
    <x v="275"/>
    <m/>
    <x v="29"/>
    <m/>
    <x v="6"/>
    <x v="1"/>
    <x v="1"/>
    <x v="0"/>
    <x v="8"/>
  </r>
  <r>
    <x v="3"/>
    <x v="246"/>
    <m/>
    <x v="29"/>
    <m/>
    <x v="6"/>
    <x v="1"/>
    <x v="1"/>
    <x v="0"/>
    <x v="9"/>
  </r>
  <r>
    <x v="3"/>
    <x v="276"/>
    <m/>
    <x v="29"/>
    <m/>
    <x v="6"/>
    <x v="1"/>
    <x v="1"/>
    <x v="0"/>
    <x v="10"/>
  </r>
  <r>
    <x v="3"/>
    <x v="277"/>
    <m/>
    <x v="29"/>
    <m/>
    <x v="6"/>
    <x v="1"/>
    <x v="1"/>
    <x v="0"/>
    <x v="11"/>
  </r>
  <r>
    <x v="3"/>
    <x v="1"/>
    <m/>
    <x v="8"/>
    <m/>
    <x v="7"/>
    <x v="6"/>
    <x v="1"/>
    <x v="0"/>
    <x v="0"/>
  </r>
  <r>
    <x v="3"/>
    <x v="27"/>
    <m/>
    <x v="8"/>
    <m/>
    <x v="7"/>
    <x v="6"/>
    <x v="1"/>
    <x v="0"/>
    <x v="1"/>
  </r>
  <r>
    <x v="3"/>
    <x v="53"/>
    <m/>
    <x v="8"/>
    <m/>
    <x v="7"/>
    <x v="6"/>
    <x v="1"/>
    <x v="0"/>
    <x v="2"/>
  </r>
  <r>
    <x v="3"/>
    <x v="82"/>
    <m/>
    <x v="8"/>
    <m/>
    <x v="7"/>
    <x v="6"/>
    <x v="1"/>
    <x v="0"/>
    <x v="3"/>
  </r>
  <r>
    <x v="3"/>
    <x v="273"/>
    <m/>
    <x v="8"/>
    <m/>
    <x v="7"/>
    <x v="6"/>
    <x v="1"/>
    <x v="0"/>
    <x v="4"/>
  </r>
  <r>
    <x v="3"/>
    <x v="138"/>
    <m/>
    <x v="8"/>
    <m/>
    <x v="7"/>
    <x v="6"/>
    <x v="1"/>
    <x v="0"/>
    <x v="5"/>
  </r>
  <r>
    <x v="3"/>
    <x v="165"/>
    <m/>
    <x v="8"/>
    <m/>
    <x v="7"/>
    <x v="6"/>
    <x v="1"/>
    <x v="0"/>
    <x v="6"/>
  </r>
  <r>
    <x v="3"/>
    <x v="274"/>
    <m/>
    <x v="8"/>
    <m/>
    <x v="7"/>
    <x v="6"/>
    <x v="1"/>
    <x v="0"/>
    <x v="7"/>
  </r>
  <r>
    <x v="3"/>
    <x v="275"/>
    <m/>
    <x v="8"/>
    <m/>
    <x v="7"/>
    <x v="6"/>
    <x v="1"/>
    <x v="0"/>
    <x v="8"/>
  </r>
  <r>
    <x v="3"/>
    <x v="246"/>
    <m/>
    <x v="8"/>
    <m/>
    <x v="7"/>
    <x v="6"/>
    <x v="1"/>
    <x v="0"/>
    <x v="9"/>
  </r>
  <r>
    <x v="3"/>
    <x v="276"/>
    <m/>
    <x v="8"/>
    <m/>
    <x v="7"/>
    <x v="6"/>
    <x v="1"/>
    <x v="0"/>
    <x v="10"/>
  </r>
  <r>
    <x v="3"/>
    <x v="277"/>
    <m/>
    <x v="8"/>
    <m/>
    <x v="7"/>
    <x v="6"/>
    <x v="1"/>
    <x v="0"/>
    <x v="11"/>
  </r>
  <r>
    <x v="3"/>
    <x v="1"/>
    <m/>
    <x v="2"/>
    <m/>
    <x v="8"/>
    <x v="2"/>
    <x v="1"/>
    <x v="0"/>
    <x v="0"/>
  </r>
  <r>
    <x v="3"/>
    <x v="27"/>
    <m/>
    <x v="2"/>
    <m/>
    <x v="8"/>
    <x v="2"/>
    <x v="1"/>
    <x v="0"/>
    <x v="1"/>
  </r>
  <r>
    <x v="3"/>
    <x v="53"/>
    <m/>
    <x v="2"/>
    <m/>
    <x v="8"/>
    <x v="2"/>
    <x v="1"/>
    <x v="0"/>
    <x v="2"/>
  </r>
  <r>
    <x v="3"/>
    <x v="82"/>
    <m/>
    <x v="2"/>
    <m/>
    <x v="8"/>
    <x v="2"/>
    <x v="1"/>
    <x v="0"/>
    <x v="3"/>
  </r>
  <r>
    <x v="3"/>
    <x v="273"/>
    <m/>
    <x v="2"/>
    <m/>
    <x v="8"/>
    <x v="2"/>
    <x v="1"/>
    <x v="0"/>
    <x v="4"/>
  </r>
  <r>
    <x v="3"/>
    <x v="138"/>
    <m/>
    <x v="2"/>
    <m/>
    <x v="8"/>
    <x v="2"/>
    <x v="1"/>
    <x v="0"/>
    <x v="5"/>
  </r>
  <r>
    <x v="3"/>
    <x v="165"/>
    <m/>
    <x v="2"/>
    <m/>
    <x v="8"/>
    <x v="2"/>
    <x v="1"/>
    <x v="0"/>
    <x v="6"/>
  </r>
  <r>
    <x v="3"/>
    <x v="274"/>
    <m/>
    <x v="2"/>
    <m/>
    <x v="8"/>
    <x v="2"/>
    <x v="1"/>
    <x v="0"/>
    <x v="7"/>
  </r>
  <r>
    <x v="3"/>
    <x v="275"/>
    <m/>
    <x v="2"/>
    <m/>
    <x v="8"/>
    <x v="2"/>
    <x v="1"/>
    <x v="0"/>
    <x v="8"/>
  </r>
  <r>
    <x v="3"/>
    <x v="246"/>
    <m/>
    <x v="2"/>
    <m/>
    <x v="8"/>
    <x v="2"/>
    <x v="1"/>
    <x v="0"/>
    <x v="9"/>
  </r>
  <r>
    <x v="3"/>
    <x v="276"/>
    <m/>
    <x v="2"/>
    <m/>
    <x v="8"/>
    <x v="2"/>
    <x v="1"/>
    <x v="0"/>
    <x v="10"/>
  </r>
  <r>
    <x v="3"/>
    <x v="277"/>
    <m/>
    <x v="2"/>
    <m/>
    <x v="8"/>
    <x v="2"/>
    <x v="1"/>
    <x v="0"/>
    <x v="11"/>
  </r>
  <r>
    <x v="3"/>
    <x v="1"/>
    <m/>
    <x v="30"/>
    <m/>
    <x v="4"/>
    <x v="0"/>
    <x v="1"/>
    <x v="0"/>
    <x v="0"/>
  </r>
  <r>
    <x v="3"/>
    <x v="27"/>
    <m/>
    <x v="30"/>
    <m/>
    <x v="4"/>
    <x v="0"/>
    <x v="1"/>
    <x v="0"/>
    <x v="1"/>
  </r>
  <r>
    <x v="3"/>
    <x v="53"/>
    <m/>
    <x v="30"/>
    <m/>
    <x v="4"/>
    <x v="0"/>
    <x v="1"/>
    <x v="0"/>
    <x v="2"/>
  </r>
  <r>
    <x v="3"/>
    <x v="82"/>
    <m/>
    <x v="30"/>
    <m/>
    <x v="4"/>
    <x v="0"/>
    <x v="1"/>
    <x v="0"/>
    <x v="3"/>
  </r>
  <r>
    <x v="3"/>
    <x v="273"/>
    <m/>
    <x v="30"/>
    <m/>
    <x v="4"/>
    <x v="0"/>
    <x v="1"/>
    <x v="0"/>
    <x v="4"/>
  </r>
  <r>
    <x v="3"/>
    <x v="138"/>
    <m/>
    <x v="30"/>
    <m/>
    <x v="4"/>
    <x v="0"/>
    <x v="1"/>
    <x v="0"/>
    <x v="5"/>
  </r>
  <r>
    <x v="3"/>
    <x v="165"/>
    <m/>
    <x v="30"/>
    <m/>
    <x v="4"/>
    <x v="0"/>
    <x v="1"/>
    <x v="0"/>
    <x v="6"/>
  </r>
  <r>
    <x v="3"/>
    <x v="274"/>
    <m/>
    <x v="30"/>
    <m/>
    <x v="4"/>
    <x v="0"/>
    <x v="1"/>
    <x v="0"/>
    <x v="7"/>
  </r>
  <r>
    <x v="3"/>
    <x v="275"/>
    <m/>
    <x v="30"/>
    <m/>
    <x v="4"/>
    <x v="0"/>
    <x v="1"/>
    <x v="0"/>
    <x v="8"/>
  </r>
  <r>
    <x v="3"/>
    <x v="246"/>
    <m/>
    <x v="30"/>
    <m/>
    <x v="4"/>
    <x v="0"/>
    <x v="1"/>
    <x v="0"/>
    <x v="9"/>
  </r>
  <r>
    <x v="3"/>
    <x v="276"/>
    <m/>
    <x v="30"/>
    <m/>
    <x v="4"/>
    <x v="0"/>
    <x v="1"/>
    <x v="0"/>
    <x v="10"/>
  </r>
  <r>
    <x v="3"/>
    <x v="277"/>
    <m/>
    <x v="30"/>
    <m/>
    <x v="4"/>
    <x v="0"/>
    <x v="1"/>
    <x v="0"/>
    <x v="11"/>
  </r>
  <r>
    <x v="3"/>
    <x v="1"/>
    <m/>
    <x v="9"/>
    <m/>
    <x v="9"/>
    <x v="7"/>
    <x v="1"/>
    <x v="0"/>
    <x v="0"/>
  </r>
  <r>
    <x v="3"/>
    <x v="27"/>
    <m/>
    <x v="9"/>
    <m/>
    <x v="9"/>
    <x v="7"/>
    <x v="1"/>
    <x v="0"/>
    <x v="1"/>
  </r>
  <r>
    <x v="3"/>
    <x v="53"/>
    <m/>
    <x v="9"/>
    <m/>
    <x v="10"/>
    <x v="7"/>
    <x v="1"/>
    <x v="0"/>
    <x v="2"/>
  </r>
  <r>
    <x v="3"/>
    <x v="82"/>
    <m/>
    <x v="9"/>
    <m/>
    <x v="9"/>
    <x v="7"/>
    <x v="1"/>
    <x v="0"/>
    <x v="3"/>
  </r>
  <r>
    <x v="3"/>
    <x v="273"/>
    <m/>
    <x v="9"/>
    <m/>
    <x v="9"/>
    <x v="7"/>
    <x v="1"/>
    <x v="0"/>
    <x v="4"/>
  </r>
  <r>
    <x v="3"/>
    <x v="138"/>
    <m/>
    <x v="9"/>
    <m/>
    <x v="9"/>
    <x v="7"/>
    <x v="1"/>
    <x v="0"/>
    <x v="5"/>
  </r>
  <r>
    <x v="3"/>
    <x v="165"/>
    <m/>
    <x v="9"/>
    <m/>
    <x v="9"/>
    <x v="7"/>
    <x v="1"/>
    <x v="0"/>
    <x v="6"/>
  </r>
  <r>
    <x v="3"/>
    <x v="274"/>
    <m/>
    <x v="9"/>
    <m/>
    <x v="9"/>
    <x v="7"/>
    <x v="1"/>
    <x v="0"/>
    <x v="7"/>
  </r>
  <r>
    <x v="3"/>
    <x v="275"/>
    <m/>
    <x v="9"/>
    <m/>
    <x v="10"/>
    <x v="7"/>
    <x v="1"/>
    <x v="0"/>
    <x v="8"/>
  </r>
  <r>
    <x v="3"/>
    <x v="246"/>
    <m/>
    <x v="9"/>
    <m/>
    <x v="9"/>
    <x v="7"/>
    <x v="1"/>
    <x v="0"/>
    <x v="9"/>
  </r>
  <r>
    <x v="3"/>
    <x v="276"/>
    <m/>
    <x v="9"/>
    <m/>
    <x v="9"/>
    <x v="7"/>
    <x v="1"/>
    <x v="0"/>
    <x v="10"/>
  </r>
  <r>
    <x v="3"/>
    <x v="277"/>
    <m/>
    <x v="9"/>
    <m/>
    <x v="9"/>
    <x v="7"/>
    <x v="1"/>
    <x v="0"/>
    <x v="11"/>
  </r>
  <r>
    <x v="3"/>
    <x v="1"/>
    <m/>
    <x v="17"/>
    <m/>
    <x v="4"/>
    <x v="7"/>
    <x v="1"/>
    <x v="0"/>
    <x v="0"/>
  </r>
  <r>
    <x v="3"/>
    <x v="27"/>
    <m/>
    <x v="17"/>
    <m/>
    <x v="4"/>
    <x v="7"/>
    <x v="1"/>
    <x v="0"/>
    <x v="1"/>
  </r>
  <r>
    <x v="3"/>
    <x v="53"/>
    <m/>
    <x v="17"/>
    <m/>
    <x v="4"/>
    <x v="7"/>
    <x v="1"/>
    <x v="0"/>
    <x v="2"/>
  </r>
  <r>
    <x v="3"/>
    <x v="82"/>
    <m/>
    <x v="17"/>
    <m/>
    <x v="4"/>
    <x v="7"/>
    <x v="1"/>
    <x v="0"/>
    <x v="3"/>
  </r>
  <r>
    <x v="3"/>
    <x v="273"/>
    <m/>
    <x v="17"/>
    <m/>
    <x v="4"/>
    <x v="7"/>
    <x v="1"/>
    <x v="0"/>
    <x v="4"/>
  </r>
  <r>
    <x v="3"/>
    <x v="138"/>
    <m/>
    <x v="17"/>
    <m/>
    <x v="4"/>
    <x v="7"/>
    <x v="1"/>
    <x v="0"/>
    <x v="5"/>
  </r>
  <r>
    <x v="3"/>
    <x v="165"/>
    <m/>
    <x v="17"/>
    <m/>
    <x v="4"/>
    <x v="7"/>
    <x v="1"/>
    <x v="0"/>
    <x v="6"/>
  </r>
  <r>
    <x v="3"/>
    <x v="274"/>
    <m/>
    <x v="17"/>
    <m/>
    <x v="4"/>
    <x v="7"/>
    <x v="1"/>
    <x v="0"/>
    <x v="7"/>
  </r>
  <r>
    <x v="3"/>
    <x v="275"/>
    <m/>
    <x v="17"/>
    <m/>
    <x v="4"/>
    <x v="7"/>
    <x v="1"/>
    <x v="0"/>
    <x v="8"/>
  </r>
  <r>
    <x v="3"/>
    <x v="246"/>
    <m/>
    <x v="17"/>
    <m/>
    <x v="4"/>
    <x v="7"/>
    <x v="1"/>
    <x v="0"/>
    <x v="9"/>
  </r>
  <r>
    <x v="3"/>
    <x v="276"/>
    <m/>
    <x v="17"/>
    <m/>
    <x v="4"/>
    <x v="7"/>
    <x v="1"/>
    <x v="0"/>
    <x v="10"/>
  </r>
  <r>
    <x v="3"/>
    <x v="277"/>
    <m/>
    <x v="17"/>
    <m/>
    <x v="4"/>
    <x v="7"/>
    <x v="1"/>
    <x v="0"/>
    <x v="11"/>
  </r>
  <r>
    <x v="3"/>
    <x v="1"/>
    <m/>
    <x v="10"/>
    <m/>
    <x v="11"/>
    <x v="8"/>
    <x v="1"/>
    <x v="0"/>
    <x v="0"/>
  </r>
  <r>
    <x v="3"/>
    <x v="27"/>
    <m/>
    <x v="10"/>
    <m/>
    <x v="11"/>
    <x v="8"/>
    <x v="1"/>
    <x v="0"/>
    <x v="1"/>
  </r>
  <r>
    <x v="3"/>
    <x v="53"/>
    <m/>
    <x v="10"/>
    <m/>
    <x v="11"/>
    <x v="8"/>
    <x v="1"/>
    <x v="0"/>
    <x v="2"/>
  </r>
  <r>
    <x v="3"/>
    <x v="82"/>
    <m/>
    <x v="10"/>
    <m/>
    <x v="11"/>
    <x v="8"/>
    <x v="1"/>
    <x v="0"/>
    <x v="3"/>
  </r>
  <r>
    <x v="3"/>
    <x v="273"/>
    <m/>
    <x v="10"/>
    <m/>
    <x v="11"/>
    <x v="8"/>
    <x v="1"/>
    <x v="0"/>
    <x v="4"/>
  </r>
  <r>
    <x v="3"/>
    <x v="138"/>
    <m/>
    <x v="10"/>
    <m/>
    <x v="11"/>
    <x v="8"/>
    <x v="1"/>
    <x v="0"/>
    <x v="5"/>
  </r>
  <r>
    <x v="3"/>
    <x v="165"/>
    <m/>
    <x v="10"/>
    <m/>
    <x v="11"/>
    <x v="8"/>
    <x v="1"/>
    <x v="0"/>
    <x v="6"/>
  </r>
  <r>
    <x v="3"/>
    <x v="274"/>
    <m/>
    <x v="10"/>
    <m/>
    <x v="11"/>
    <x v="8"/>
    <x v="1"/>
    <x v="0"/>
    <x v="7"/>
  </r>
  <r>
    <x v="3"/>
    <x v="275"/>
    <m/>
    <x v="10"/>
    <m/>
    <x v="11"/>
    <x v="8"/>
    <x v="1"/>
    <x v="0"/>
    <x v="8"/>
  </r>
  <r>
    <x v="3"/>
    <x v="246"/>
    <m/>
    <x v="10"/>
    <m/>
    <x v="11"/>
    <x v="8"/>
    <x v="1"/>
    <x v="0"/>
    <x v="9"/>
  </r>
  <r>
    <x v="3"/>
    <x v="276"/>
    <m/>
    <x v="10"/>
    <m/>
    <x v="11"/>
    <x v="8"/>
    <x v="1"/>
    <x v="0"/>
    <x v="10"/>
  </r>
  <r>
    <x v="3"/>
    <x v="277"/>
    <m/>
    <x v="10"/>
    <m/>
    <x v="11"/>
    <x v="8"/>
    <x v="1"/>
    <x v="0"/>
    <x v="11"/>
  </r>
  <r>
    <x v="3"/>
    <x v="1"/>
    <m/>
    <x v="11"/>
    <m/>
    <x v="8"/>
    <x v="6"/>
    <x v="1"/>
    <x v="0"/>
    <x v="0"/>
  </r>
  <r>
    <x v="3"/>
    <x v="27"/>
    <m/>
    <x v="11"/>
    <m/>
    <x v="8"/>
    <x v="6"/>
    <x v="1"/>
    <x v="0"/>
    <x v="1"/>
  </r>
  <r>
    <x v="3"/>
    <x v="53"/>
    <m/>
    <x v="11"/>
    <m/>
    <x v="8"/>
    <x v="6"/>
    <x v="1"/>
    <x v="0"/>
    <x v="2"/>
  </r>
  <r>
    <x v="3"/>
    <x v="82"/>
    <m/>
    <x v="11"/>
    <m/>
    <x v="8"/>
    <x v="6"/>
    <x v="1"/>
    <x v="0"/>
    <x v="3"/>
  </r>
  <r>
    <x v="3"/>
    <x v="273"/>
    <m/>
    <x v="11"/>
    <m/>
    <x v="8"/>
    <x v="6"/>
    <x v="1"/>
    <x v="0"/>
    <x v="4"/>
  </r>
  <r>
    <x v="3"/>
    <x v="138"/>
    <m/>
    <x v="11"/>
    <m/>
    <x v="8"/>
    <x v="6"/>
    <x v="1"/>
    <x v="0"/>
    <x v="5"/>
  </r>
  <r>
    <x v="3"/>
    <x v="165"/>
    <m/>
    <x v="11"/>
    <m/>
    <x v="8"/>
    <x v="6"/>
    <x v="1"/>
    <x v="0"/>
    <x v="6"/>
  </r>
  <r>
    <x v="3"/>
    <x v="274"/>
    <m/>
    <x v="11"/>
    <m/>
    <x v="8"/>
    <x v="6"/>
    <x v="1"/>
    <x v="0"/>
    <x v="7"/>
  </r>
  <r>
    <x v="3"/>
    <x v="275"/>
    <m/>
    <x v="11"/>
    <m/>
    <x v="8"/>
    <x v="6"/>
    <x v="1"/>
    <x v="0"/>
    <x v="8"/>
  </r>
  <r>
    <x v="3"/>
    <x v="246"/>
    <m/>
    <x v="11"/>
    <m/>
    <x v="8"/>
    <x v="6"/>
    <x v="1"/>
    <x v="0"/>
    <x v="9"/>
  </r>
  <r>
    <x v="3"/>
    <x v="276"/>
    <m/>
    <x v="11"/>
    <m/>
    <x v="8"/>
    <x v="6"/>
    <x v="1"/>
    <x v="0"/>
    <x v="10"/>
  </r>
  <r>
    <x v="3"/>
    <x v="277"/>
    <m/>
    <x v="11"/>
    <m/>
    <x v="8"/>
    <x v="6"/>
    <x v="1"/>
    <x v="0"/>
    <x v="11"/>
  </r>
  <r>
    <x v="3"/>
    <x v="1"/>
    <m/>
    <x v="31"/>
    <m/>
    <x v="4"/>
    <x v="8"/>
    <x v="1"/>
    <x v="0"/>
    <x v="0"/>
  </r>
  <r>
    <x v="3"/>
    <x v="27"/>
    <m/>
    <x v="31"/>
    <m/>
    <x v="4"/>
    <x v="8"/>
    <x v="1"/>
    <x v="0"/>
    <x v="1"/>
  </r>
  <r>
    <x v="3"/>
    <x v="53"/>
    <m/>
    <x v="31"/>
    <m/>
    <x v="4"/>
    <x v="8"/>
    <x v="1"/>
    <x v="0"/>
    <x v="2"/>
  </r>
  <r>
    <x v="3"/>
    <x v="82"/>
    <m/>
    <x v="31"/>
    <m/>
    <x v="4"/>
    <x v="8"/>
    <x v="1"/>
    <x v="0"/>
    <x v="3"/>
  </r>
  <r>
    <x v="3"/>
    <x v="273"/>
    <m/>
    <x v="31"/>
    <m/>
    <x v="4"/>
    <x v="8"/>
    <x v="1"/>
    <x v="0"/>
    <x v="4"/>
  </r>
  <r>
    <x v="3"/>
    <x v="138"/>
    <m/>
    <x v="31"/>
    <m/>
    <x v="4"/>
    <x v="8"/>
    <x v="1"/>
    <x v="0"/>
    <x v="5"/>
  </r>
  <r>
    <x v="3"/>
    <x v="165"/>
    <m/>
    <x v="31"/>
    <m/>
    <x v="4"/>
    <x v="8"/>
    <x v="1"/>
    <x v="0"/>
    <x v="6"/>
  </r>
  <r>
    <x v="3"/>
    <x v="274"/>
    <m/>
    <x v="31"/>
    <m/>
    <x v="4"/>
    <x v="8"/>
    <x v="1"/>
    <x v="0"/>
    <x v="7"/>
  </r>
  <r>
    <x v="3"/>
    <x v="275"/>
    <m/>
    <x v="31"/>
    <m/>
    <x v="4"/>
    <x v="8"/>
    <x v="1"/>
    <x v="0"/>
    <x v="8"/>
  </r>
  <r>
    <x v="3"/>
    <x v="246"/>
    <m/>
    <x v="31"/>
    <m/>
    <x v="4"/>
    <x v="8"/>
    <x v="1"/>
    <x v="0"/>
    <x v="9"/>
  </r>
  <r>
    <x v="3"/>
    <x v="276"/>
    <m/>
    <x v="31"/>
    <m/>
    <x v="4"/>
    <x v="8"/>
    <x v="1"/>
    <x v="0"/>
    <x v="10"/>
  </r>
  <r>
    <x v="3"/>
    <x v="277"/>
    <m/>
    <x v="31"/>
    <m/>
    <x v="4"/>
    <x v="8"/>
    <x v="1"/>
    <x v="0"/>
    <x v="11"/>
  </r>
  <r>
    <x v="3"/>
    <x v="1"/>
    <m/>
    <x v="19"/>
    <m/>
    <x v="2"/>
    <x v="6"/>
    <x v="1"/>
    <x v="0"/>
    <x v="0"/>
  </r>
  <r>
    <x v="3"/>
    <x v="27"/>
    <m/>
    <x v="19"/>
    <m/>
    <x v="2"/>
    <x v="6"/>
    <x v="1"/>
    <x v="0"/>
    <x v="1"/>
  </r>
  <r>
    <x v="3"/>
    <x v="53"/>
    <m/>
    <x v="19"/>
    <m/>
    <x v="2"/>
    <x v="6"/>
    <x v="1"/>
    <x v="0"/>
    <x v="2"/>
  </r>
  <r>
    <x v="3"/>
    <x v="82"/>
    <m/>
    <x v="19"/>
    <m/>
    <x v="2"/>
    <x v="6"/>
    <x v="1"/>
    <x v="0"/>
    <x v="3"/>
  </r>
  <r>
    <x v="3"/>
    <x v="273"/>
    <m/>
    <x v="19"/>
    <m/>
    <x v="2"/>
    <x v="6"/>
    <x v="1"/>
    <x v="0"/>
    <x v="4"/>
  </r>
  <r>
    <x v="3"/>
    <x v="138"/>
    <m/>
    <x v="19"/>
    <m/>
    <x v="2"/>
    <x v="6"/>
    <x v="1"/>
    <x v="0"/>
    <x v="5"/>
  </r>
  <r>
    <x v="3"/>
    <x v="165"/>
    <m/>
    <x v="19"/>
    <m/>
    <x v="2"/>
    <x v="6"/>
    <x v="1"/>
    <x v="0"/>
    <x v="6"/>
  </r>
  <r>
    <x v="3"/>
    <x v="274"/>
    <m/>
    <x v="19"/>
    <m/>
    <x v="2"/>
    <x v="6"/>
    <x v="1"/>
    <x v="0"/>
    <x v="7"/>
  </r>
  <r>
    <x v="3"/>
    <x v="275"/>
    <m/>
    <x v="19"/>
    <m/>
    <x v="2"/>
    <x v="6"/>
    <x v="1"/>
    <x v="0"/>
    <x v="8"/>
  </r>
  <r>
    <x v="3"/>
    <x v="246"/>
    <m/>
    <x v="19"/>
    <m/>
    <x v="2"/>
    <x v="6"/>
    <x v="1"/>
    <x v="0"/>
    <x v="9"/>
  </r>
  <r>
    <x v="3"/>
    <x v="276"/>
    <m/>
    <x v="19"/>
    <m/>
    <x v="2"/>
    <x v="6"/>
    <x v="1"/>
    <x v="0"/>
    <x v="10"/>
  </r>
  <r>
    <x v="3"/>
    <x v="277"/>
    <m/>
    <x v="19"/>
    <m/>
    <x v="2"/>
    <x v="6"/>
    <x v="1"/>
    <x v="0"/>
    <x v="11"/>
  </r>
  <r>
    <x v="3"/>
    <x v="1"/>
    <m/>
    <x v="14"/>
    <m/>
    <x v="2"/>
    <x v="6"/>
    <x v="1"/>
    <x v="0"/>
    <x v="0"/>
  </r>
  <r>
    <x v="3"/>
    <x v="27"/>
    <m/>
    <x v="14"/>
    <m/>
    <x v="2"/>
    <x v="6"/>
    <x v="1"/>
    <x v="0"/>
    <x v="1"/>
  </r>
  <r>
    <x v="3"/>
    <x v="53"/>
    <m/>
    <x v="14"/>
    <m/>
    <x v="2"/>
    <x v="6"/>
    <x v="1"/>
    <x v="0"/>
    <x v="2"/>
  </r>
  <r>
    <x v="3"/>
    <x v="82"/>
    <m/>
    <x v="14"/>
    <m/>
    <x v="2"/>
    <x v="6"/>
    <x v="1"/>
    <x v="0"/>
    <x v="3"/>
  </r>
  <r>
    <x v="3"/>
    <x v="273"/>
    <m/>
    <x v="14"/>
    <m/>
    <x v="2"/>
    <x v="6"/>
    <x v="1"/>
    <x v="0"/>
    <x v="4"/>
  </r>
  <r>
    <x v="3"/>
    <x v="138"/>
    <m/>
    <x v="14"/>
    <m/>
    <x v="2"/>
    <x v="6"/>
    <x v="1"/>
    <x v="0"/>
    <x v="5"/>
  </r>
  <r>
    <x v="3"/>
    <x v="165"/>
    <m/>
    <x v="14"/>
    <m/>
    <x v="2"/>
    <x v="6"/>
    <x v="1"/>
    <x v="0"/>
    <x v="6"/>
  </r>
  <r>
    <x v="3"/>
    <x v="274"/>
    <m/>
    <x v="14"/>
    <m/>
    <x v="2"/>
    <x v="6"/>
    <x v="1"/>
    <x v="0"/>
    <x v="7"/>
  </r>
  <r>
    <x v="3"/>
    <x v="275"/>
    <m/>
    <x v="14"/>
    <m/>
    <x v="2"/>
    <x v="6"/>
    <x v="1"/>
    <x v="0"/>
    <x v="8"/>
  </r>
  <r>
    <x v="3"/>
    <x v="246"/>
    <m/>
    <x v="14"/>
    <m/>
    <x v="2"/>
    <x v="6"/>
    <x v="1"/>
    <x v="0"/>
    <x v="9"/>
  </r>
  <r>
    <x v="3"/>
    <x v="276"/>
    <m/>
    <x v="14"/>
    <m/>
    <x v="2"/>
    <x v="6"/>
    <x v="1"/>
    <x v="0"/>
    <x v="10"/>
  </r>
  <r>
    <x v="3"/>
    <x v="277"/>
    <m/>
    <x v="14"/>
    <m/>
    <x v="2"/>
    <x v="6"/>
    <x v="1"/>
    <x v="0"/>
    <x v="11"/>
  </r>
  <r>
    <x v="3"/>
    <x v="1"/>
    <m/>
    <x v="5"/>
    <m/>
    <x v="12"/>
    <x v="4"/>
    <x v="1"/>
    <x v="0"/>
    <x v="0"/>
  </r>
  <r>
    <x v="3"/>
    <x v="27"/>
    <m/>
    <x v="5"/>
    <m/>
    <x v="12"/>
    <x v="4"/>
    <x v="1"/>
    <x v="0"/>
    <x v="1"/>
  </r>
  <r>
    <x v="3"/>
    <x v="53"/>
    <m/>
    <x v="5"/>
    <m/>
    <x v="12"/>
    <x v="4"/>
    <x v="1"/>
    <x v="0"/>
    <x v="2"/>
  </r>
  <r>
    <x v="3"/>
    <x v="82"/>
    <m/>
    <x v="5"/>
    <m/>
    <x v="12"/>
    <x v="4"/>
    <x v="1"/>
    <x v="0"/>
    <x v="3"/>
  </r>
  <r>
    <x v="3"/>
    <x v="273"/>
    <m/>
    <x v="5"/>
    <m/>
    <x v="12"/>
    <x v="4"/>
    <x v="1"/>
    <x v="0"/>
    <x v="4"/>
  </r>
  <r>
    <x v="3"/>
    <x v="138"/>
    <m/>
    <x v="5"/>
    <m/>
    <x v="12"/>
    <x v="4"/>
    <x v="1"/>
    <x v="0"/>
    <x v="5"/>
  </r>
  <r>
    <x v="3"/>
    <x v="165"/>
    <m/>
    <x v="5"/>
    <m/>
    <x v="12"/>
    <x v="4"/>
    <x v="1"/>
    <x v="0"/>
    <x v="6"/>
  </r>
  <r>
    <x v="3"/>
    <x v="274"/>
    <m/>
    <x v="5"/>
    <m/>
    <x v="12"/>
    <x v="4"/>
    <x v="1"/>
    <x v="0"/>
    <x v="7"/>
  </r>
  <r>
    <x v="3"/>
    <x v="275"/>
    <m/>
    <x v="5"/>
    <m/>
    <x v="12"/>
    <x v="4"/>
    <x v="1"/>
    <x v="0"/>
    <x v="8"/>
  </r>
  <r>
    <x v="3"/>
    <x v="246"/>
    <m/>
    <x v="5"/>
    <m/>
    <x v="12"/>
    <x v="4"/>
    <x v="1"/>
    <x v="0"/>
    <x v="9"/>
  </r>
  <r>
    <x v="3"/>
    <x v="276"/>
    <m/>
    <x v="5"/>
    <m/>
    <x v="12"/>
    <x v="4"/>
    <x v="1"/>
    <x v="0"/>
    <x v="10"/>
  </r>
  <r>
    <x v="3"/>
    <x v="277"/>
    <m/>
    <x v="5"/>
    <m/>
    <x v="12"/>
    <x v="4"/>
    <x v="1"/>
    <x v="0"/>
    <x v="11"/>
  </r>
  <r>
    <x v="3"/>
    <x v="1"/>
    <m/>
    <x v="15"/>
    <m/>
    <x v="13"/>
    <x v="6"/>
    <x v="1"/>
    <x v="0"/>
    <x v="0"/>
  </r>
  <r>
    <x v="3"/>
    <x v="27"/>
    <m/>
    <x v="15"/>
    <m/>
    <x v="13"/>
    <x v="6"/>
    <x v="1"/>
    <x v="0"/>
    <x v="1"/>
  </r>
  <r>
    <x v="3"/>
    <x v="53"/>
    <m/>
    <x v="15"/>
    <m/>
    <x v="13"/>
    <x v="6"/>
    <x v="1"/>
    <x v="0"/>
    <x v="2"/>
  </r>
  <r>
    <x v="3"/>
    <x v="82"/>
    <m/>
    <x v="15"/>
    <m/>
    <x v="13"/>
    <x v="6"/>
    <x v="1"/>
    <x v="0"/>
    <x v="3"/>
  </r>
  <r>
    <x v="3"/>
    <x v="273"/>
    <m/>
    <x v="15"/>
    <m/>
    <x v="13"/>
    <x v="6"/>
    <x v="1"/>
    <x v="0"/>
    <x v="4"/>
  </r>
  <r>
    <x v="3"/>
    <x v="138"/>
    <m/>
    <x v="15"/>
    <m/>
    <x v="13"/>
    <x v="6"/>
    <x v="1"/>
    <x v="0"/>
    <x v="5"/>
  </r>
  <r>
    <x v="3"/>
    <x v="165"/>
    <m/>
    <x v="15"/>
    <m/>
    <x v="13"/>
    <x v="6"/>
    <x v="1"/>
    <x v="0"/>
    <x v="6"/>
  </r>
  <r>
    <x v="3"/>
    <x v="274"/>
    <m/>
    <x v="15"/>
    <m/>
    <x v="13"/>
    <x v="6"/>
    <x v="1"/>
    <x v="0"/>
    <x v="7"/>
  </r>
  <r>
    <x v="3"/>
    <x v="275"/>
    <m/>
    <x v="15"/>
    <m/>
    <x v="13"/>
    <x v="6"/>
    <x v="1"/>
    <x v="0"/>
    <x v="8"/>
  </r>
  <r>
    <x v="3"/>
    <x v="246"/>
    <m/>
    <x v="15"/>
    <m/>
    <x v="13"/>
    <x v="6"/>
    <x v="1"/>
    <x v="0"/>
    <x v="9"/>
  </r>
  <r>
    <x v="3"/>
    <x v="276"/>
    <m/>
    <x v="15"/>
    <m/>
    <x v="13"/>
    <x v="6"/>
    <x v="1"/>
    <x v="0"/>
    <x v="10"/>
  </r>
  <r>
    <x v="3"/>
    <x v="277"/>
    <m/>
    <x v="15"/>
    <m/>
    <x v="13"/>
    <x v="6"/>
    <x v="1"/>
    <x v="0"/>
    <x v="11"/>
  </r>
  <r>
    <x v="3"/>
    <x v="1"/>
    <m/>
    <x v="32"/>
    <m/>
    <x v="2"/>
    <x v="6"/>
    <x v="1"/>
    <x v="0"/>
    <x v="0"/>
  </r>
  <r>
    <x v="3"/>
    <x v="27"/>
    <m/>
    <x v="32"/>
    <m/>
    <x v="2"/>
    <x v="6"/>
    <x v="1"/>
    <x v="0"/>
    <x v="1"/>
  </r>
  <r>
    <x v="3"/>
    <x v="53"/>
    <m/>
    <x v="32"/>
    <m/>
    <x v="2"/>
    <x v="6"/>
    <x v="1"/>
    <x v="0"/>
    <x v="2"/>
  </r>
  <r>
    <x v="3"/>
    <x v="82"/>
    <m/>
    <x v="32"/>
    <m/>
    <x v="2"/>
    <x v="6"/>
    <x v="1"/>
    <x v="0"/>
    <x v="3"/>
  </r>
  <r>
    <x v="3"/>
    <x v="273"/>
    <m/>
    <x v="32"/>
    <m/>
    <x v="2"/>
    <x v="6"/>
    <x v="1"/>
    <x v="0"/>
    <x v="4"/>
  </r>
  <r>
    <x v="3"/>
    <x v="138"/>
    <m/>
    <x v="32"/>
    <m/>
    <x v="2"/>
    <x v="6"/>
    <x v="1"/>
    <x v="0"/>
    <x v="5"/>
  </r>
  <r>
    <x v="3"/>
    <x v="165"/>
    <m/>
    <x v="32"/>
    <m/>
    <x v="2"/>
    <x v="6"/>
    <x v="1"/>
    <x v="0"/>
    <x v="6"/>
  </r>
  <r>
    <x v="3"/>
    <x v="274"/>
    <m/>
    <x v="32"/>
    <m/>
    <x v="2"/>
    <x v="6"/>
    <x v="1"/>
    <x v="0"/>
    <x v="7"/>
  </r>
  <r>
    <x v="3"/>
    <x v="275"/>
    <m/>
    <x v="32"/>
    <m/>
    <x v="2"/>
    <x v="6"/>
    <x v="1"/>
    <x v="0"/>
    <x v="8"/>
  </r>
  <r>
    <x v="3"/>
    <x v="246"/>
    <m/>
    <x v="32"/>
    <m/>
    <x v="2"/>
    <x v="6"/>
    <x v="1"/>
    <x v="0"/>
    <x v="9"/>
  </r>
  <r>
    <x v="3"/>
    <x v="276"/>
    <m/>
    <x v="32"/>
    <m/>
    <x v="2"/>
    <x v="6"/>
    <x v="1"/>
    <x v="0"/>
    <x v="10"/>
  </r>
  <r>
    <x v="3"/>
    <x v="277"/>
    <m/>
    <x v="32"/>
    <m/>
    <x v="2"/>
    <x v="6"/>
    <x v="1"/>
    <x v="0"/>
    <x v="11"/>
  </r>
  <r>
    <x v="3"/>
    <x v="1"/>
    <m/>
    <x v="33"/>
    <m/>
    <x v="10"/>
    <x v="10"/>
    <x v="1"/>
    <x v="0"/>
    <x v="0"/>
  </r>
  <r>
    <x v="3"/>
    <x v="27"/>
    <m/>
    <x v="33"/>
    <m/>
    <x v="10"/>
    <x v="10"/>
    <x v="1"/>
    <x v="0"/>
    <x v="1"/>
  </r>
  <r>
    <x v="3"/>
    <x v="53"/>
    <m/>
    <x v="33"/>
    <m/>
    <x v="10"/>
    <x v="10"/>
    <x v="1"/>
    <x v="0"/>
    <x v="2"/>
  </r>
  <r>
    <x v="3"/>
    <x v="82"/>
    <m/>
    <x v="33"/>
    <m/>
    <x v="10"/>
    <x v="10"/>
    <x v="1"/>
    <x v="0"/>
    <x v="3"/>
  </r>
  <r>
    <x v="3"/>
    <x v="273"/>
    <m/>
    <x v="33"/>
    <m/>
    <x v="10"/>
    <x v="10"/>
    <x v="1"/>
    <x v="0"/>
    <x v="4"/>
  </r>
  <r>
    <x v="3"/>
    <x v="138"/>
    <m/>
    <x v="33"/>
    <m/>
    <x v="10"/>
    <x v="10"/>
    <x v="1"/>
    <x v="0"/>
    <x v="5"/>
  </r>
  <r>
    <x v="3"/>
    <x v="165"/>
    <m/>
    <x v="33"/>
    <m/>
    <x v="10"/>
    <x v="10"/>
    <x v="1"/>
    <x v="0"/>
    <x v="6"/>
  </r>
  <r>
    <x v="3"/>
    <x v="274"/>
    <m/>
    <x v="33"/>
    <m/>
    <x v="10"/>
    <x v="10"/>
    <x v="1"/>
    <x v="0"/>
    <x v="7"/>
  </r>
  <r>
    <x v="3"/>
    <x v="275"/>
    <m/>
    <x v="33"/>
    <m/>
    <x v="10"/>
    <x v="10"/>
    <x v="1"/>
    <x v="0"/>
    <x v="8"/>
  </r>
  <r>
    <x v="3"/>
    <x v="246"/>
    <m/>
    <x v="33"/>
    <m/>
    <x v="10"/>
    <x v="10"/>
    <x v="1"/>
    <x v="0"/>
    <x v="9"/>
  </r>
  <r>
    <x v="3"/>
    <x v="276"/>
    <m/>
    <x v="33"/>
    <m/>
    <x v="10"/>
    <x v="10"/>
    <x v="1"/>
    <x v="0"/>
    <x v="10"/>
  </r>
  <r>
    <x v="3"/>
    <x v="277"/>
    <m/>
    <x v="33"/>
    <m/>
    <x v="10"/>
    <x v="10"/>
    <x v="1"/>
    <x v="0"/>
    <x v="11"/>
  </r>
  <r>
    <x v="3"/>
    <x v="1"/>
    <m/>
    <x v="34"/>
    <m/>
    <x v="6"/>
    <x v="0"/>
    <x v="1"/>
    <x v="0"/>
    <x v="0"/>
  </r>
  <r>
    <x v="3"/>
    <x v="27"/>
    <m/>
    <x v="34"/>
    <m/>
    <x v="6"/>
    <x v="0"/>
    <x v="1"/>
    <x v="0"/>
    <x v="1"/>
  </r>
  <r>
    <x v="3"/>
    <x v="53"/>
    <m/>
    <x v="34"/>
    <m/>
    <x v="6"/>
    <x v="0"/>
    <x v="1"/>
    <x v="0"/>
    <x v="2"/>
  </r>
  <r>
    <x v="3"/>
    <x v="82"/>
    <m/>
    <x v="34"/>
    <m/>
    <x v="6"/>
    <x v="0"/>
    <x v="1"/>
    <x v="0"/>
    <x v="3"/>
  </r>
  <r>
    <x v="3"/>
    <x v="273"/>
    <m/>
    <x v="34"/>
    <m/>
    <x v="6"/>
    <x v="0"/>
    <x v="1"/>
    <x v="0"/>
    <x v="4"/>
  </r>
  <r>
    <x v="3"/>
    <x v="138"/>
    <m/>
    <x v="34"/>
    <m/>
    <x v="6"/>
    <x v="0"/>
    <x v="1"/>
    <x v="0"/>
    <x v="5"/>
  </r>
  <r>
    <x v="3"/>
    <x v="165"/>
    <m/>
    <x v="34"/>
    <m/>
    <x v="6"/>
    <x v="0"/>
    <x v="1"/>
    <x v="0"/>
    <x v="6"/>
  </r>
  <r>
    <x v="3"/>
    <x v="274"/>
    <m/>
    <x v="34"/>
    <m/>
    <x v="6"/>
    <x v="0"/>
    <x v="1"/>
    <x v="0"/>
    <x v="7"/>
  </r>
  <r>
    <x v="3"/>
    <x v="275"/>
    <m/>
    <x v="34"/>
    <m/>
    <x v="6"/>
    <x v="0"/>
    <x v="1"/>
    <x v="0"/>
    <x v="8"/>
  </r>
  <r>
    <x v="3"/>
    <x v="246"/>
    <m/>
    <x v="34"/>
    <m/>
    <x v="6"/>
    <x v="0"/>
    <x v="1"/>
    <x v="0"/>
    <x v="9"/>
  </r>
  <r>
    <x v="3"/>
    <x v="276"/>
    <m/>
    <x v="34"/>
    <m/>
    <x v="6"/>
    <x v="0"/>
    <x v="1"/>
    <x v="0"/>
    <x v="10"/>
  </r>
  <r>
    <x v="3"/>
    <x v="277"/>
    <m/>
    <x v="34"/>
    <m/>
    <x v="6"/>
    <x v="0"/>
    <x v="1"/>
    <x v="0"/>
    <x v="11"/>
  </r>
  <r>
    <x v="3"/>
    <x v="1"/>
    <m/>
    <x v="35"/>
    <m/>
    <x v="2"/>
    <x v="6"/>
    <x v="1"/>
    <x v="0"/>
    <x v="0"/>
  </r>
  <r>
    <x v="3"/>
    <x v="27"/>
    <m/>
    <x v="35"/>
    <m/>
    <x v="2"/>
    <x v="6"/>
    <x v="1"/>
    <x v="0"/>
    <x v="1"/>
  </r>
  <r>
    <x v="3"/>
    <x v="53"/>
    <m/>
    <x v="35"/>
    <m/>
    <x v="2"/>
    <x v="6"/>
    <x v="1"/>
    <x v="0"/>
    <x v="2"/>
  </r>
  <r>
    <x v="3"/>
    <x v="82"/>
    <m/>
    <x v="35"/>
    <m/>
    <x v="2"/>
    <x v="6"/>
    <x v="1"/>
    <x v="0"/>
    <x v="3"/>
  </r>
  <r>
    <x v="3"/>
    <x v="273"/>
    <m/>
    <x v="35"/>
    <m/>
    <x v="2"/>
    <x v="6"/>
    <x v="1"/>
    <x v="0"/>
    <x v="4"/>
  </r>
  <r>
    <x v="3"/>
    <x v="138"/>
    <m/>
    <x v="35"/>
    <m/>
    <x v="2"/>
    <x v="6"/>
    <x v="1"/>
    <x v="0"/>
    <x v="5"/>
  </r>
  <r>
    <x v="3"/>
    <x v="165"/>
    <m/>
    <x v="35"/>
    <m/>
    <x v="2"/>
    <x v="6"/>
    <x v="1"/>
    <x v="0"/>
    <x v="6"/>
  </r>
  <r>
    <x v="3"/>
    <x v="274"/>
    <m/>
    <x v="35"/>
    <m/>
    <x v="2"/>
    <x v="6"/>
    <x v="1"/>
    <x v="0"/>
    <x v="7"/>
  </r>
  <r>
    <x v="3"/>
    <x v="275"/>
    <m/>
    <x v="35"/>
    <m/>
    <x v="2"/>
    <x v="6"/>
    <x v="1"/>
    <x v="0"/>
    <x v="8"/>
  </r>
  <r>
    <x v="3"/>
    <x v="246"/>
    <m/>
    <x v="35"/>
    <m/>
    <x v="2"/>
    <x v="6"/>
    <x v="1"/>
    <x v="0"/>
    <x v="9"/>
  </r>
  <r>
    <x v="3"/>
    <x v="276"/>
    <m/>
    <x v="35"/>
    <m/>
    <x v="2"/>
    <x v="6"/>
    <x v="1"/>
    <x v="0"/>
    <x v="10"/>
  </r>
  <r>
    <x v="3"/>
    <x v="277"/>
    <m/>
    <x v="35"/>
    <m/>
    <x v="2"/>
    <x v="6"/>
    <x v="1"/>
    <x v="0"/>
    <x v="11"/>
  </r>
  <r>
    <x v="3"/>
    <x v="1"/>
    <m/>
    <x v="36"/>
    <m/>
    <x v="2"/>
    <x v="1"/>
    <x v="1"/>
    <x v="0"/>
    <x v="0"/>
  </r>
  <r>
    <x v="3"/>
    <x v="27"/>
    <m/>
    <x v="36"/>
    <m/>
    <x v="2"/>
    <x v="1"/>
    <x v="1"/>
    <x v="0"/>
    <x v="1"/>
  </r>
  <r>
    <x v="3"/>
    <x v="53"/>
    <m/>
    <x v="36"/>
    <m/>
    <x v="2"/>
    <x v="1"/>
    <x v="1"/>
    <x v="0"/>
    <x v="2"/>
  </r>
  <r>
    <x v="3"/>
    <x v="82"/>
    <m/>
    <x v="36"/>
    <m/>
    <x v="2"/>
    <x v="1"/>
    <x v="1"/>
    <x v="0"/>
    <x v="3"/>
  </r>
  <r>
    <x v="3"/>
    <x v="273"/>
    <m/>
    <x v="36"/>
    <m/>
    <x v="2"/>
    <x v="1"/>
    <x v="1"/>
    <x v="0"/>
    <x v="4"/>
  </r>
  <r>
    <x v="3"/>
    <x v="138"/>
    <m/>
    <x v="36"/>
    <m/>
    <x v="2"/>
    <x v="1"/>
    <x v="1"/>
    <x v="0"/>
    <x v="5"/>
  </r>
  <r>
    <x v="3"/>
    <x v="165"/>
    <m/>
    <x v="36"/>
    <m/>
    <x v="2"/>
    <x v="1"/>
    <x v="1"/>
    <x v="0"/>
    <x v="6"/>
  </r>
  <r>
    <x v="3"/>
    <x v="274"/>
    <m/>
    <x v="36"/>
    <m/>
    <x v="2"/>
    <x v="1"/>
    <x v="1"/>
    <x v="0"/>
    <x v="7"/>
  </r>
  <r>
    <x v="3"/>
    <x v="275"/>
    <m/>
    <x v="36"/>
    <m/>
    <x v="2"/>
    <x v="1"/>
    <x v="1"/>
    <x v="0"/>
    <x v="8"/>
  </r>
  <r>
    <x v="3"/>
    <x v="246"/>
    <m/>
    <x v="36"/>
    <m/>
    <x v="2"/>
    <x v="1"/>
    <x v="1"/>
    <x v="0"/>
    <x v="9"/>
  </r>
  <r>
    <x v="3"/>
    <x v="276"/>
    <m/>
    <x v="36"/>
    <m/>
    <x v="2"/>
    <x v="1"/>
    <x v="1"/>
    <x v="0"/>
    <x v="10"/>
  </r>
  <r>
    <x v="3"/>
    <x v="277"/>
    <m/>
    <x v="36"/>
    <m/>
    <x v="2"/>
    <x v="1"/>
    <x v="1"/>
    <x v="0"/>
    <x v="11"/>
  </r>
  <r>
    <x v="3"/>
    <x v="1"/>
    <m/>
    <x v="37"/>
    <m/>
    <x v="6"/>
    <x v="0"/>
    <x v="1"/>
    <x v="0"/>
    <x v="0"/>
  </r>
  <r>
    <x v="3"/>
    <x v="27"/>
    <m/>
    <x v="37"/>
    <m/>
    <x v="6"/>
    <x v="0"/>
    <x v="1"/>
    <x v="0"/>
    <x v="1"/>
  </r>
  <r>
    <x v="3"/>
    <x v="53"/>
    <m/>
    <x v="37"/>
    <m/>
    <x v="6"/>
    <x v="0"/>
    <x v="1"/>
    <x v="0"/>
    <x v="2"/>
  </r>
  <r>
    <x v="3"/>
    <x v="82"/>
    <m/>
    <x v="37"/>
    <m/>
    <x v="6"/>
    <x v="0"/>
    <x v="1"/>
    <x v="0"/>
    <x v="3"/>
  </r>
  <r>
    <x v="3"/>
    <x v="273"/>
    <m/>
    <x v="37"/>
    <m/>
    <x v="6"/>
    <x v="0"/>
    <x v="1"/>
    <x v="0"/>
    <x v="4"/>
  </r>
  <r>
    <x v="3"/>
    <x v="138"/>
    <m/>
    <x v="37"/>
    <m/>
    <x v="6"/>
    <x v="0"/>
    <x v="1"/>
    <x v="0"/>
    <x v="5"/>
  </r>
  <r>
    <x v="3"/>
    <x v="165"/>
    <m/>
    <x v="37"/>
    <m/>
    <x v="6"/>
    <x v="0"/>
    <x v="1"/>
    <x v="0"/>
    <x v="6"/>
  </r>
  <r>
    <x v="3"/>
    <x v="274"/>
    <m/>
    <x v="37"/>
    <m/>
    <x v="6"/>
    <x v="0"/>
    <x v="1"/>
    <x v="0"/>
    <x v="7"/>
  </r>
  <r>
    <x v="3"/>
    <x v="275"/>
    <m/>
    <x v="37"/>
    <m/>
    <x v="6"/>
    <x v="0"/>
    <x v="1"/>
    <x v="0"/>
    <x v="8"/>
  </r>
  <r>
    <x v="3"/>
    <x v="246"/>
    <m/>
    <x v="37"/>
    <m/>
    <x v="6"/>
    <x v="0"/>
    <x v="1"/>
    <x v="0"/>
    <x v="9"/>
  </r>
  <r>
    <x v="3"/>
    <x v="276"/>
    <m/>
    <x v="37"/>
    <m/>
    <x v="6"/>
    <x v="0"/>
    <x v="1"/>
    <x v="0"/>
    <x v="10"/>
  </r>
  <r>
    <x v="3"/>
    <x v="277"/>
    <m/>
    <x v="37"/>
    <m/>
    <x v="6"/>
    <x v="0"/>
    <x v="1"/>
    <x v="0"/>
    <x v="11"/>
  </r>
  <r>
    <x v="3"/>
    <x v="1"/>
    <m/>
    <x v="38"/>
    <m/>
    <x v="2"/>
    <x v="0"/>
    <x v="1"/>
    <x v="0"/>
    <x v="0"/>
  </r>
  <r>
    <x v="3"/>
    <x v="27"/>
    <m/>
    <x v="38"/>
    <m/>
    <x v="2"/>
    <x v="0"/>
    <x v="1"/>
    <x v="0"/>
    <x v="1"/>
  </r>
  <r>
    <x v="3"/>
    <x v="53"/>
    <m/>
    <x v="38"/>
    <m/>
    <x v="2"/>
    <x v="0"/>
    <x v="1"/>
    <x v="0"/>
    <x v="2"/>
  </r>
  <r>
    <x v="3"/>
    <x v="82"/>
    <m/>
    <x v="38"/>
    <m/>
    <x v="2"/>
    <x v="0"/>
    <x v="1"/>
    <x v="0"/>
    <x v="3"/>
  </r>
  <r>
    <x v="3"/>
    <x v="273"/>
    <m/>
    <x v="38"/>
    <m/>
    <x v="2"/>
    <x v="0"/>
    <x v="1"/>
    <x v="0"/>
    <x v="4"/>
  </r>
  <r>
    <x v="3"/>
    <x v="138"/>
    <m/>
    <x v="38"/>
    <m/>
    <x v="2"/>
    <x v="0"/>
    <x v="1"/>
    <x v="0"/>
    <x v="5"/>
  </r>
  <r>
    <x v="3"/>
    <x v="165"/>
    <m/>
    <x v="38"/>
    <m/>
    <x v="2"/>
    <x v="0"/>
    <x v="1"/>
    <x v="0"/>
    <x v="6"/>
  </r>
  <r>
    <x v="3"/>
    <x v="274"/>
    <m/>
    <x v="38"/>
    <m/>
    <x v="2"/>
    <x v="0"/>
    <x v="1"/>
    <x v="0"/>
    <x v="7"/>
  </r>
  <r>
    <x v="3"/>
    <x v="275"/>
    <m/>
    <x v="38"/>
    <m/>
    <x v="2"/>
    <x v="0"/>
    <x v="1"/>
    <x v="0"/>
    <x v="8"/>
  </r>
  <r>
    <x v="3"/>
    <x v="246"/>
    <m/>
    <x v="38"/>
    <m/>
    <x v="2"/>
    <x v="0"/>
    <x v="1"/>
    <x v="0"/>
    <x v="9"/>
  </r>
  <r>
    <x v="3"/>
    <x v="276"/>
    <m/>
    <x v="38"/>
    <m/>
    <x v="2"/>
    <x v="0"/>
    <x v="1"/>
    <x v="0"/>
    <x v="10"/>
  </r>
  <r>
    <x v="3"/>
    <x v="277"/>
    <m/>
    <x v="38"/>
    <m/>
    <x v="2"/>
    <x v="0"/>
    <x v="1"/>
    <x v="0"/>
    <x v="11"/>
  </r>
  <r>
    <x v="3"/>
    <x v="1"/>
    <m/>
    <x v="39"/>
    <m/>
    <x v="14"/>
    <x v="4"/>
    <x v="1"/>
    <x v="0"/>
    <x v="0"/>
  </r>
  <r>
    <x v="3"/>
    <x v="27"/>
    <m/>
    <x v="39"/>
    <m/>
    <x v="14"/>
    <x v="4"/>
    <x v="1"/>
    <x v="0"/>
    <x v="1"/>
  </r>
  <r>
    <x v="3"/>
    <x v="53"/>
    <m/>
    <x v="39"/>
    <m/>
    <x v="14"/>
    <x v="4"/>
    <x v="1"/>
    <x v="0"/>
    <x v="2"/>
  </r>
  <r>
    <x v="3"/>
    <x v="82"/>
    <m/>
    <x v="39"/>
    <m/>
    <x v="14"/>
    <x v="4"/>
    <x v="1"/>
    <x v="0"/>
    <x v="3"/>
  </r>
  <r>
    <x v="3"/>
    <x v="273"/>
    <m/>
    <x v="39"/>
    <m/>
    <x v="14"/>
    <x v="4"/>
    <x v="1"/>
    <x v="0"/>
    <x v="4"/>
  </r>
  <r>
    <x v="3"/>
    <x v="138"/>
    <m/>
    <x v="39"/>
    <m/>
    <x v="14"/>
    <x v="4"/>
    <x v="1"/>
    <x v="0"/>
    <x v="5"/>
  </r>
  <r>
    <x v="3"/>
    <x v="165"/>
    <m/>
    <x v="39"/>
    <m/>
    <x v="14"/>
    <x v="4"/>
    <x v="1"/>
    <x v="0"/>
    <x v="6"/>
  </r>
  <r>
    <x v="3"/>
    <x v="274"/>
    <m/>
    <x v="39"/>
    <m/>
    <x v="14"/>
    <x v="4"/>
    <x v="1"/>
    <x v="0"/>
    <x v="7"/>
  </r>
  <r>
    <x v="3"/>
    <x v="275"/>
    <m/>
    <x v="39"/>
    <m/>
    <x v="14"/>
    <x v="4"/>
    <x v="1"/>
    <x v="0"/>
    <x v="8"/>
  </r>
  <r>
    <x v="3"/>
    <x v="246"/>
    <m/>
    <x v="39"/>
    <m/>
    <x v="14"/>
    <x v="4"/>
    <x v="1"/>
    <x v="0"/>
    <x v="9"/>
  </r>
  <r>
    <x v="3"/>
    <x v="276"/>
    <m/>
    <x v="39"/>
    <m/>
    <x v="14"/>
    <x v="4"/>
    <x v="1"/>
    <x v="0"/>
    <x v="10"/>
  </r>
  <r>
    <x v="3"/>
    <x v="277"/>
    <m/>
    <x v="39"/>
    <m/>
    <x v="14"/>
    <x v="4"/>
    <x v="1"/>
    <x v="0"/>
    <x v="11"/>
  </r>
  <r>
    <x v="3"/>
    <x v="1"/>
    <m/>
    <x v="7"/>
    <m/>
    <x v="5"/>
    <x v="5"/>
    <x v="1"/>
    <x v="0"/>
    <x v="0"/>
  </r>
  <r>
    <x v="3"/>
    <x v="27"/>
    <m/>
    <x v="7"/>
    <m/>
    <x v="5"/>
    <x v="5"/>
    <x v="1"/>
    <x v="0"/>
    <x v="1"/>
  </r>
  <r>
    <x v="3"/>
    <x v="53"/>
    <m/>
    <x v="7"/>
    <m/>
    <x v="5"/>
    <x v="5"/>
    <x v="1"/>
    <x v="0"/>
    <x v="2"/>
  </r>
  <r>
    <x v="3"/>
    <x v="82"/>
    <m/>
    <x v="7"/>
    <m/>
    <x v="5"/>
    <x v="5"/>
    <x v="1"/>
    <x v="0"/>
    <x v="3"/>
  </r>
  <r>
    <x v="3"/>
    <x v="273"/>
    <m/>
    <x v="7"/>
    <m/>
    <x v="5"/>
    <x v="5"/>
    <x v="1"/>
    <x v="0"/>
    <x v="4"/>
  </r>
  <r>
    <x v="3"/>
    <x v="138"/>
    <m/>
    <x v="7"/>
    <m/>
    <x v="5"/>
    <x v="5"/>
    <x v="1"/>
    <x v="0"/>
    <x v="5"/>
  </r>
  <r>
    <x v="3"/>
    <x v="165"/>
    <m/>
    <x v="7"/>
    <m/>
    <x v="5"/>
    <x v="5"/>
    <x v="1"/>
    <x v="0"/>
    <x v="6"/>
  </r>
  <r>
    <x v="3"/>
    <x v="274"/>
    <m/>
    <x v="7"/>
    <m/>
    <x v="5"/>
    <x v="5"/>
    <x v="1"/>
    <x v="0"/>
    <x v="7"/>
  </r>
  <r>
    <x v="3"/>
    <x v="275"/>
    <m/>
    <x v="7"/>
    <m/>
    <x v="5"/>
    <x v="5"/>
    <x v="1"/>
    <x v="0"/>
    <x v="8"/>
  </r>
  <r>
    <x v="3"/>
    <x v="246"/>
    <m/>
    <x v="7"/>
    <m/>
    <x v="5"/>
    <x v="5"/>
    <x v="1"/>
    <x v="0"/>
    <x v="9"/>
  </r>
  <r>
    <x v="3"/>
    <x v="276"/>
    <m/>
    <x v="7"/>
    <m/>
    <x v="5"/>
    <x v="5"/>
    <x v="1"/>
    <x v="0"/>
    <x v="10"/>
  </r>
  <r>
    <x v="3"/>
    <x v="277"/>
    <m/>
    <x v="7"/>
    <m/>
    <x v="5"/>
    <x v="5"/>
    <x v="1"/>
    <x v="0"/>
    <x v="11"/>
  </r>
  <r>
    <x v="3"/>
    <x v="1"/>
    <m/>
    <x v="40"/>
    <m/>
    <x v="15"/>
    <x v="5"/>
    <x v="1"/>
    <x v="0"/>
    <x v="0"/>
  </r>
  <r>
    <x v="3"/>
    <x v="27"/>
    <m/>
    <x v="40"/>
    <m/>
    <x v="15"/>
    <x v="5"/>
    <x v="1"/>
    <x v="0"/>
    <x v="1"/>
  </r>
  <r>
    <x v="3"/>
    <x v="53"/>
    <m/>
    <x v="40"/>
    <m/>
    <x v="15"/>
    <x v="5"/>
    <x v="1"/>
    <x v="0"/>
    <x v="2"/>
  </r>
  <r>
    <x v="3"/>
    <x v="82"/>
    <m/>
    <x v="40"/>
    <m/>
    <x v="15"/>
    <x v="5"/>
    <x v="1"/>
    <x v="0"/>
    <x v="3"/>
  </r>
  <r>
    <x v="3"/>
    <x v="273"/>
    <m/>
    <x v="40"/>
    <m/>
    <x v="15"/>
    <x v="5"/>
    <x v="1"/>
    <x v="0"/>
    <x v="4"/>
  </r>
  <r>
    <x v="3"/>
    <x v="138"/>
    <m/>
    <x v="40"/>
    <m/>
    <x v="15"/>
    <x v="5"/>
    <x v="1"/>
    <x v="0"/>
    <x v="5"/>
  </r>
  <r>
    <x v="3"/>
    <x v="165"/>
    <m/>
    <x v="40"/>
    <m/>
    <x v="15"/>
    <x v="5"/>
    <x v="1"/>
    <x v="0"/>
    <x v="6"/>
  </r>
  <r>
    <x v="3"/>
    <x v="274"/>
    <m/>
    <x v="40"/>
    <m/>
    <x v="15"/>
    <x v="5"/>
    <x v="1"/>
    <x v="0"/>
    <x v="7"/>
  </r>
  <r>
    <x v="3"/>
    <x v="275"/>
    <m/>
    <x v="40"/>
    <m/>
    <x v="15"/>
    <x v="5"/>
    <x v="1"/>
    <x v="0"/>
    <x v="8"/>
  </r>
  <r>
    <x v="3"/>
    <x v="246"/>
    <m/>
    <x v="40"/>
    <m/>
    <x v="15"/>
    <x v="5"/>
    <x v="1"/>
    <x v="0"/>
    <x v="9"/>
  </r>
  <r>
    <x v="3"/>
    <x v="276"/>
    <m/>
    <x v="40"/>
    <m/>
    <x v="15"/>
    <x v="5"/>
    <x v="1"/>
    <x v="0"/>
    <x v="10"/>
  </r>
  <r>
    <x v="3"/>
    <x v="277"/>
    <m/>
    <x v="40"/>
    <m/>
    <x v="15"/>
    <x v="5"/>
    <x v="1"/>
    <x v="0"/>
    <x v="11"/>
  </r>
  <r>
    <x v="3"/>
    <x v="1"/>
    <m/>
    <x v="41"/>
    <m/>
    <x v="16"/>
    <x v="0"/>
    <x v="1"/>
    <x v="0"/>
    <x v="0"/>
  </r>
  <r>
    <x v="3"/>
    <x v="27"/>
    <m/>
    <x v="41"/>
    <m/>
    <x v="16"/>
    <x v="0"/>
    <x v="1"/>
    <x v="0"/>
    <x v="1"/>
  </r>
  <r>
    <x v="3"/>
    <x v="53"/>
    <m/>
    <x v="41"/>
    <m/>
    <x v="16"/>
    <x v="0"/>
    <x v="1"/>
    <x v="0"/>
    <x v="2"/>
  </r>
  <r>
    <x v="3"/>
    <x v="82"/>
    <m/>
    <x v="41"/>
    <m/>
    <x v="16"/>
    <x v="0"/>
    <x v="1"/>
    <x v="0"/>
    <x v="3"/>
  </r>
  <r>
    <x v="3"/>
    <x v="273"/>
    <m/>
    <x v="41"/>
    <m/>
    <x v="16"/>
    <x v="0"/>
    <x v="1"/>
    <x v="0"/>
    <x v="4"/>
  </r>
  <r>
    <x v="3"/>
    <x v="138"/>
    <m/>
    <x v="41"/>
    <m/>
    <x v="16"/>
    <x v="0"/>
    <x v="1"/>
    <x v="0"/>
    <x v="5"/>
  </r>
  <r>
    <x v="3"/>
    <x v="165"/>
    <m/>
    <x v="41"/>
    <m/>
    <x v="16"/>
    <x v="0"/>
    <x v="1"/>
    <x v="0"/>
    <x v="6"/>
  </r>
  <r>
    <x v="3"/>
    <x v="274"/>
    <m/>
    <x v="41"/>
    <m/>
    <x v="16"/>
    <x v="0"/>
    <x v="1"/>
    <x v="0"/>
    <x v="7"/>
  </r>
  <r>
    <x v="3"/>
    <x v="275"/>
    <m/>
    <x v="41"/>
    <m/>
    <x v="16"/>
    <x v="0"/>
    <x v="1"/>
    <x v="0"/>
    <x v="8"/>
  </r>
  <r>
    <x v="3"/>
    <x v="246"/>
    <m/>
    <x v="41"/>
    <m/>
    <x v="16"/>
    <x v="0"/>
    <x v="1"/>
    <x v="0"/>
    <x v="9"/>
  </r>
  <r>
    <x v="3"/>
    <x v="276"/>
    <m/>
    <x v="41"/>
    <m/>
    <x v="16"/>
    <x v="0"/>
    <x v="1"/>
    <x v="0"/>
    <x v="10"/>
  </r>
  <r>
    <x v="3"/>
    <x v="277"/>
    <m/>
    <x v="41"/>
    <m/>
    <x v="16"/>
    <x v="0"/>
    <x v="1"/>
    <x v="0"/>
    <x v="11"/>
  </r>
  <r>
    <x v="3"/>
    <x v="1"/>
    <m/>
    <x v="42"/>
    <m/>
    <x v="2"/>
    <x v="1"/>
    <x v="1"/>
    <x v="0"/>
    <x v="0"/>
  </r>
  <r>
    <x v="3"/>
    <x v="27"/>
    <m/>
    <x v="42"/>
    <m/>
    <x v="2"/>
    <x v="1"/>
    <x v="1"/>
    <x v="0"/>
    <x v="1"/>
  </r>
  <r>
    <x v="3"/>
    <x v="53"/>
    <m/>
    <x v="42"/>
    <m/>
    <x v="2"/>
    <x v="1"/>
    <x v="1"/>
    <x v="0"/>
    <x v="2"/>
  </r>
  <r>
    <x v="3"/>
    <x v="82"/>
    <m/>
    <x v="42"/>
    <m/>
    <x v="2"/>
    <x v="1"/>
    <x v="1"/>
    <x v="0"/>
    <x v="3"/>
  </r>
  <r>
    <x v="3"/>
    <x v="273"/>
    <m/>
    <x v="42"/>
    <m/>
    <x v="2"/>
    <x v="1"/>
    <x v="1"/>
    <x v="0"/>
    <x v="4"/>
  </r>
  <r>
    <x v="3"/>
    <x v="138"/>
    <m/>
    <x v="42"/>
    <m/>
    <x v="2"/>
    <x v="1"/>
    <x v="1"/>
    <x v="0"/>
    <x v="5"/>
  </r>
  <r>
    <x v="3"/>
    <x v="165"/>
    <m/>
    <x v="42"/>
    <m/>
    <x v="2"/>
    <x v="1"/>
    <x v="1"/>
    <x v="0"/>
    <x v="6"/>
  </r>
  <r>
    <x v="3"/>
    <x v="274"/>
    <m/>
    <x v="42"/>
    <m/>
    <x v="2"/>
    <x v="1"/>
    <x v="1"/>
    <x v="0"/>
    <x v="7"/>
  </r>
  <r>
    <x v="3"/>
    <x v="275"/>
    <m/>
    <x v="42"/>
    <m/>
    <x v="2"/>
    <x v="1"/>
    <x v="1"/>
    <x v="0"/>
    <x v="8"/>
  </r>
  <r>
    <x v="3"/>
    <x v="246"/>
    <m/>
    <x v="42"/>
    <m/>
    <x v="2"/>
    <x v="1"/>
    <x v="1"/>
    <x v="0"/>
    <x v="9"/>
  </r>
  <r>
    <x v="3"/>
    <x v="276"/>
    <m/>
    <x v="42"/>
    <m/>
    <x v="2"/>
    <x v="1"/>
    <x v="1"/>
    <x v="0"/>
    <x v="10"/>
  </r>
  <r>
    <x v="3"/>
    <x v="277"/>
    <m/>
    <x v="42"/>
    <m/>
    <x v="2"/>
    <x v="1"/>
    <x v="1"/>
    <x v="0"/>
    <x v="11"/>
  </r>
  <r>
    <x v="3"/>
    <x v="1"/>
    <m/>
    <x v="16"/>
    <m/>
    <x v="6"/>
    <x v="4"/>
    <x v="1"/>
    <x v="0"/>
    <x v="0"/>
  </r>
  <r>
    <x v="3"/>
    <x v="27"/>
    <m/>
    <x v="16"/>
    <m/>
    <x v="6"/>
    <x v="4"/>
    <x v="1"/>
    <x v="0"/>
    <x v="1"/>
  </r>
  <r>
    <x v="3"/>
    <x v="53"/>
    <m/>
    <x v="16"/>
    <m/>
    <x v="6"/>
    <x v="4"/>
    <x v="1"/>
    <x v="0"/>
    <x v="2"/>
  </r>
  <r>
    <x v="3"/>
    <x v="82"/>
    <m/>
    <x v="16"/>
    <m/>
    <x v="6"/>
    <x v="4"/>
    <x v="1"/>
    <x v="0"/>
    <x v="3"/>
  </r>
  <r>
    <x v="3"/>
    <x v="273"/>
    <m/>
    <x v="16"/>
    <m/>
    <x v="6"/>
    <x v="4"/>
    <x v="1"/>
    <x v="0"/>
    <x v="4"/>
  </r>
  <r>
    <x v="3"/>
    <x v="138"/>
    <m/>
    <x v="16"/>
    <m/>
    <x v="6"/>
    <x v="4"/>
    <x v="1"/>
    <x v="0"/>
    <x v="5"/>
  </r>
  <r>
    <x v="3"/>
    <x v="165"/>
    <m/>
    <x v="16"/>
    <m/>
    <x v="6"/>
    <x v="4"/>
    <x v="1"/>
    <x v="0"/>
    <x v="6"/>
  </r>
  <r>
    <x v="3"/>
    <x v="274"/>
    <m/>
    <x v="16"/>
    <m/>
    <x v="6"/>
    <x v="4"/>
    <x v="1"/>
    <x v="0"/>
    <x v="7"/>
  </r>
  <r>
    <x v="3"/>
    <x v="275"/>
    <m/>
    <x v="16"/>
    <m/>
    <x v="6"/>
    <x v="4"/>
    <x v="1"/>
    <x v="0"/>
    <x v="8"/>
  </r>
  <r>
    <x v="3"/>
    <x v="246"/>
    <m/>
    <x v="16"/>
    <m/>
    <x v="6"/>
    <x v="4"/>
    <x v="1"/>
    <x v="0"/>
    <x v="9"/>
  </r>
  <r>
    <x v="3"/>
    <x v="276"/>
    <m/>
    <x v="16"/>
    <m/>
    <x v="6"/>
    <x v="4"/>
    <x v="1"/>
    <x v="0"/>
    <x v="10"/>
  </r>
  <r>
    <x v="3"/>
    <x v="277"/>
    <m/>
    <x v="16"/>
    <m/>
    <x v="6"/>
    <x v="4"/>
    <x v="1"/>
    <x v="0"/>
    <x v="11"/>
  </r>
  <r>
    <x v="3"/>
    <x v="1"/>
    <m/>
    <x v="43"/>
    <m/>
    <x v="16"/>
    <x v="9"/>
    <x v="1"/>
    <x v="0"/>
    <x v="0"/>
  </r>
  <r>
    <x v="3"/>
    <x v="27"/>
    <m/>
    <x v="43"/>
    <m/>
    <x v="16"/>
    <x v="9"/>
    <x v="1"/>
    <x v="0"/>
    <x v="1"/>
  </r>
  <r>
    <x v="3"/>
    <x v="53"/>
    <m/>
    <x v="43"/>
    <m/>
    <x v="16"/>
    <x v="9"/>
    <x v="1"/>
    <x v="0"/>
    <x v="2"/>
  </r>
  <r>
    <x v="3"/>
    <x v="82"/>
    <m/>
    <x v="43"/>
    <m/>
    <x v="16"/>
    <x v="9"/>
    <x v="1"/>
    <x v="0"/>
    <x v="3"/>
  </r>
  <r>
    <x v="3"/>
    <x v="273"/>
    <m/>
    <x v="43"/>
    <m/>
    <x v="16"/>
    <x v="9"/>
    <x v="1"/>
    <x v="0"/>
    <x v="4"/>
  </r>
  <r>
    <x v="3"/>
    <x v="138"/>
    <m/>
    <x v="43"/>
    <m/>
    <x v="16"/>
    <x v="9"/>
    <x v="1"/>
    <x v="0"/>
    <x v="5"/>
  </r>
  <r>
    <x v="3"/>
    <x v="165"/>
    <m/>
    <x v="43"/>
    <m/>
    <x v="16"/>
    <x v="9"/>
    <x v="1"/>
    <x v="0"/>
    <x v="6"/>
  </r>
  <r>
    <x v="3"/>
    <x v="274"/>
    <m/>
    <x v="43"/>
    <m/>
    <x v="16"/>
    <x v="9"/>
    <x v="1"/>
    <x v="0"/>
    <x v="7"/>
  </r>
  <r>
    <x v="3"/>
    <x v="275"/>
    <m/>
    <x v="43"/>
    <m/>
    <x v="16"/>
    <x v="9"/>
    <x v="1"/>
    <x v="0"/>
    <x v="8"/>
  </r>
  <r>
    <x v="3"/>
    <x v="246"/>
    <m/>
    <x v="43"/>
    <m/>
    <x v="16"/>
    <x v="9"/>
    <x v="1"/>
    <x v="0"/>
    <x v="9"/>
  </r>
  <r>
    <x v="3"/>
    <x v="276"/>
    <m/>
    <x v="43"/>
    <m/>
    <x v="16"/>
    <x v="9"/>
    <x v="1"/>
    <x v="0"/>
    <x v="10"/>
  </r>
  <r>
    <x v="3"/>
    <x v="277"/>
    <m/>
    <x v="43"/>
    <m/>
    <x v="16"/>
    <x v="9"/>
    <x v="1"/>
    <x v="0"/>
    <x v="11"/>
  </r>
  <r>
    <x v="3"/>
    <x v="1"/>
    <m/>
    <x v="44"/>
    <m/>
    <x v="15"/>
    <x v="2"/>
    <x v="1"/>
    <x v="0"/>
    <x v="0"/>
  </r>
  <r>
    <x v="3"/>
    <x v="27"/>
    <m/>
    <x v="44"/>
    <m/>
    <x v="15"/>
    <x v="2"/>
    <x v="1"/>
    <x v="0"/>
    <x v="1"/>
  </r>
  <r>
    <x v="3"/>
    <x v="53"/>
    <m/>
    <x v="44"/>
    <m/>
    <x v="15"/>
    <x v="2"/>
    <x v="1"/>
    <x v="0"/>
    <x v="2"/>
  </r>
  <r>
    <x v="3"/>
    <x v="82"/>
    <m/>
    <x v="44"/>
    <m/>
    <x v="15"/>
    <x v="2"/>
    <x v="1"/>
    <x v="0"/>
    <x v="3"/>
  </r>
  <r>
    <x v="3"/>
    <x v="273"/>
    <m/>
    <x v="44"/>
    <m/>
    <x v="15"/>
    <x v="2"/>
    <x v="1"/>
    <x v="0"/>
    <x v="4"/>
  </r>
  <r>
    <x v="3"/>
    <x v="138"/>
    <m/>
    <x v="44"/>
    <m/>
    <x v="15"/>
    <x v="2"/>
    <x v="1"/>
    <x v="0"/>
    <x v="5"/>
  </r>
  <r>
    <x v="3"/>
    <x v="165"/>
    <m/>
    <x v="44"/>
    <m/>
    <x v="15"/>
    <x v="2"/>
    <x v="1"/>
    <x v="0"/>
    <x v="6"/>
  </r>
  <r>
    <x v="3"/>
    <x v="274"/>
    <m/>
    <x v="44"/>
    <m/>
    <x v="15"/>
    <x v="2"/>
    <x v="1"/>
    <x v="0"/>
    <x v="7"/>
  </r>
  <r>
    <x v="3"/>
    <x v="275"/>
    <m/>
    <x v="44"/>
    <m/>
    <x v="15"/>
    <x v="2"/>
    <x v="1"/>
    <x v="0"/>
    <x v="8"/>
  </r>
  <r>
    <x v="3"/>
    <x v="246"/>
    <m/>
    <x v="44"/>
    <m/>
    <x v="15"/>
    <x v="2"/>
    <x v="1"/>
    <x v="0"/>
    <x v="9"/>
  </r>
  <r>
    <x v="3"/>
    <x v="276"/>
    <m/>
    <x v="44"/>
    <m/>
    <x v="15"/>
    <x v="2"/>
    <x v="1"/>
    <x v="0"/>
    <x v="10"/>
  </r>
  <r>
    <x v="3"/>
    <x v="277"/>
    <m/>
    <x v="44"/>
    <m/>
    <x v="15"/>
    <x v="2"/>
    <x v="1"/>
    <x v="0"/>
    <x v="11"/>
  </r>
  <r>
    <x v="3"/>
    <x v="1"/>
    <m/>
    <x v="45"/>
    <m/>
    <x v="10"/>
    <x v="0"/>
    <x v="1"/>
    <x v="0"/>
    <x v="0"/>
  </r>
  <r>
    <x v="3"/>
    <x v="27"/>
    <m/>
    <x v="45"/>
    <m/>
    <x v="10"/>
    <x v="0"/>
    <x v="1"/>
    <x v="0"/>
    <x v="1"/>
  </r>
  <r>
    <x v="3"/>
    <x v="53"/>
    <m/>
    <x v="45"/>
    <m/>
    <x v="10"/>
    <x v="0"/>
    <x v="1"/>
    <x v="0"/>
    <x v="2"/>
  </r>
  <r>
    <x v="3"/>
    <x v="82"/>
    <m/>
    <x v="45"/>
    <m/>
    <x v="10"/>
    <x v="0"/>
    <x v="1"/>
    <x v="0"/>
    <x v="3"/>
  </r>
  <r>
    <x v="3"/>
    <x v="273"/>
    <m/>
    <x v="45"/>
    <m/>
    <x v="10"/>
    <x v="0"/>
    <x v="1"/>
    <x v="0"/>
    <x v="4"/>
  </r>
  <r>
    <x v="3"/>
    <x v="138"/>
    <m/>
    <x v="45"/>
    <m/>
    <x v="10"/>
    <x v="0"/>
    <x v="1"/>
    <x v="0"/>
    <x v="5"/>
  </r>
  <r>
    <x v="3"/>
    <x v="165"/>
    <m/>
    <x v="45"/>
    <m/>
    <x v="10"/>
    <x v="0"/>
    <x v="1"/>
    <x v="0"/>
    <x v="6"/>
  </r>
  <r>
    <x v="3"/>
    <x v="274"/>
    <m/>
    <x v="45"/>
    <m/>
    <x v="10"/>
    <x v="0"/>
    <x v="1"/>
    <x v="0"/>
    <x v="7"/>
  </r>
  <r>
    <x v="3"/>
    <x v="275"/>
    <m/>
    <x v="45"/>
    <m/>
    <x v="10"/>
    <x v="0"/>
    <x v="1"/>
    <x v="0"/>
    <x v="8"/>
  </r>
  <r>
    <x v="3"/>
    <x v="246"/>
    <m/>
    <x v="45"/>
    <m/>
    <x v="10"/>
    <x v="0"/>
    <x v="1"/>
    <x v="0"/>
    <x v="9"/>
  </r>
  <r>
    <x v="3"/>
    <x v="276"/>
    <m/>
    <x v="45"/>
    <m/>
    <x v="10"/>
    <x v="0"/>
    <x v="1"/>
    <x v="0"/>
    <x v="10"/>
  </r>
  <r>
    <x v="3"/>
    <x v="277"/>
    <m/>
    <x v="45"/>
    <m/>
    <x v="10"/>
    <x v="0"/>
    <x v="1"/>
    <x v="0"/>
    <x v="11"/>
  </r>
  <r>
    <x v="3"/>
    <x v="1"/>
    <m/>
    <x v="46"/>
    <m/>
    <x v="16"/>
    <x v="8"/>
    <x v="1"/>
    <x v="0"/>
    <x v="0"/>
  </r>
  <r>
    <x v="3"/>
    <x v="27"/>
    <m/>
    <x v="46"/>
    <m/>
    <x v="16"/>
    <x v="8"/>
    <x v="1"/>
    <x v="0"/>
    <x v="1"/>
  </r>
  <r>
    <x v="3"/>
    <x v="53"/>
    <m/>
    <x v="46"/>
    <m/>
    <x v="16"/>
    <x v="8"/>
    <x v="1"/>
    <x v="0"/>
    <x v="2"/>
  </r>
  <r>
    <x v="3"/>
    <x v="82"/>
    <m/>
    <x v="46"/>
    <m/>
    <x v="16"/>
    <x v="8"/>
    <x v="1"/>
    <x v="0"/>
    <x v="3"/>
  </r>
  <r>
    <x v="3"/>
    <x v="273"/>
    <m/>
    <x v="46"/>
    <m/>
    <x v="16"/>
    <x v="8"/>
    <x v="1"/>
    <x v="0"/>
    <x v="4"/>
  </r>
  <r>
    <x v="3"/>
    <x v="138"/>
    <m/>
    <x v="46"/>
    <m/>
    <x v="16"/>
    <x v="8"/>
    <x v="1"/>
    <x v="0"/>
    <x v="5"/>
  </r>
  <r>
    <x v="3"/>
    <x v="165"/>
    <m/>
    <x v="46"/>
    <m/>
    <x v="16"/>
    <x v="8"/>
    <x v="1"/>
    <x v="0"/>
    <x v="6"/>
  </r>
  <r>
    <x v="3"/>
    <x v="274"/>
    <m/>
    <x v="46"/>
    <m/>
    <x v="16"/>
    <x v="8"/>
    <x v="1"/>
    <x v="0"/>
    <x v="7"/>
  </r>
  <r>
    <x v="3"/>
    <x v="275"/>
    <m/>
    <x v="46"/>
    <m/>
    <x v="16"/>
    <x v="8"/>
    <x v="1"/>
    <x v="0"/>
    <x v="8"/>
  </r>
  <r>
    <x v="3"/>
    <x v="246"/>
    <m/>
    <x v="46"/>
    <m/>
    <x v="16"/>
    <x v="8"/>
    <x v="1"/>
    <x v="0"/>
    <x v="9"/>
  </r>
  <r>
    <x v="3"/>
    <x v="276"/>
    <m/>
    <x v="46"/>
    <m/>
    <x v="16"/>
    <x v="8"/>
    <x v="1"/>
    <x v="0"/>
    <x v="10"/>
  </r>
  <r>
    <x v="3"/>
    <x v="277"/>
    <m/>
    <x v="46"/>
    <m/>
    <x v="16"/>
    <x v="8"/>
    <x v="1"/>
    <x v="0"/>
    <x v="11"/>
  </r>
  <r>
    <x v="3"/>
    <x v="1"/>
    <m/>
    <x v="47"/>
    <m/>
    <x v="5"/>
    <x v="11"/>
    <x v="1"/>
    <x v="0"/>
    <x v="0"/>
  </r>
  <r>
    <x v="3"/>
    <x v="27"/>
    <m/>
    <x v="47"/>
    <m/>
    <x v="10"/>
    <x v="11"/>
    <x v="1"/>
    <x v="0"/>
    <x v="1"/>
  </r>
  <r>
    <x v="3"/>
    <x v="53"/>
    <m/>
    <x v="47"/>
    <m/>
    <x v="10"/>
    <x v="11"/>
    <x v="1"/>
    <x v="0"/>
    <x v="2"/>
  </r>
  <r>
    <x v="3"/>
    <x v="82"/>
    <m/>
    <x v="47"/>
    <m/>
    <x v="10"/>
    <x v="11"/>
    <x v="1"/>
    <x v="0"/>
    <x v="3"/>
  </r>
  <r>
    <x v="3"/>
    <x v="273"/>
    <m/>
    <x v="47"/>
    <m/>
    <x v="10"/>
    <x v="11"/>
    <x v="1"/>
    <x v="0"/>
    <x v="4"/>
  </r>
  <r>
    <x v="3"/>
    <x v="138"/>
    <m/>
    <x v="47"/>
    <m/>
    <x v="10"/>
    <x v="11"/>
    <x v="1"/>
    <x v="0"/>
    <x v="5"/>
  </r>
  <r>
    <x v="3"/>
    <x v="165"/>
    <m/>
    <x v="47"/>
    <m/>
    <x v="10"/>
    <x v="11"/>
    <x v="1"/>
    <x v="0"/>
    <x v="6"/>
  </r>
  <r>
    <x v="3"/>
    <x v="274"/>
    <m/>
    <x v="47"/>
    <m/>
    <x v="10"/>
    <x v="11"/>
    <x v="1"/>
    <x v="0"/>
    <x v="7"/>
  </r>
  <r>
    <x v="3"/>
    <x v="275"/>
    <m/>
    <x v="47"/>
    <m/>
    <x v="10"/>
    <x v="11"/>
    <x v="1"/>
    <x v="0"/>
    <x v="8"/>
  </r>
  <r>
    <x v="3"/>
    <x v="246"/>
    <m/>
    <x v="47"/>
    <m/>
    <x v="10"/>
    <x v="11"/>
    <x v="1"/>
    <x v="0"/>
    <x v="9"/>
  </r>
  <r>
    <x v="3"/>
    <x v="276"/>
    <m/>
    <x v="47"/>
    <m/>
    <x v="10"/>
    <x v="11"/>
    <x v="1"/>
    <x v="0"/>
    <x v="10"/>
  </r>
  <r>
    <x v="3"/>
    <x v="277"/>
    <m/>
    <x v="47"/>
    <m/>
    <x v="10"/>
    <x v="11"/>
    <x v="1"/>
    <x v="0"/>
    <x v="11"/>
  </r>
  <r>
    <x v="3"/>
    <x v="1"/>
    <m/>
    <x v="48"/>
    <m/>
    <x v="5"/>
    <x v="4"/>
    <x v="1"/>
    <x v="0"/>
    <x v="0"/>
  </r>
  <r>
    <x v="3"/>
    <x v="27"/>
    <m/>
    <x v="48"/>
    <m/>
    <x v="5"/>
    <x v="4"/>
    <x v="1"/>
    <x v="0"/>
    <x v="1"/>
  </r>
  <r>
    <x v="3"/>
    <x v="53"/>
    <m/>
    <x v="48"/>
    <m/>
    <x v="5"/>
    <x v="4"/>
    <x v="1"/>
    <x v="0"/>
    <x v="2"/>
  </r>
  <r>
    <x v="3"/>
    <x v="82"/>
    <m/>
    <x v="48"/>
    <m/>
    <x v="5"/>
    <x v="4"/>
    <x v="1"/>
    <x v="0"/>
    <x v="3"/>
  </r>
  <r>
    <x v="3"/>
    <x v="273"/>
    <m/>
    <x v="48"/>
    <m/>
    <x v="5"/>
    <x v="4"/>
    <x v="1"/>
    <x v="0"/>
    <x v="4"/>
  </r>
  <r>
    <x v="3"/>
    <x v="138"/>
    <m/>
    <x v="48"/>
    <m/>
    <x v="5"/>
    <x v="4"/>
    <x v="1"/>
    <x v="0"/>
    <x v="5"/>
  </r>
  <r>
    <x v="3"/>
    <x v="165"/>
    <m/>
    <x v="48"/>
    <m/>
    <x v="5"/>
    <x v="4"/>
    <x v="1"/>
    <x v="0"/>
    <x v="6"/>
  </r>
  <r>
    <x v="3"/>
    <x v="274"/>
    <m/>
    <x v="48"/>
    <m/>
    <x v="5"/>
    <x v="4"/>
    <x v="1"/>
    <x v="0"/>
    <x v="7"/>
  </r>
  <r>
    <x v="3"/>
    <x v="275"/>
    <m/>
    <x v="48"/>
    <m/>
    <x v="5"/>
    <x v="4"/>
    <x v="1"/>
    <x v="0"/>
    <x v="8"/>
  </r>
  <r>
    <x v="3"/>
    <x v="246"/>
    <m/>
    <x v="48"/>
    <m/>
    <x v="5"/>
    <x v="4"/>
    <x v="1"/>
    <x v="0"/>
    <x v="9"/>
  </r>
  <r>
    <x v="3"/>
    <x v="276"/>
    <m/>
    <x v="48"/>
    <m/>
    <x v="5"/>
    <x v="4"/>
    <x v="1"/>
    <x v="0"/>
    <x v="10"/>
  </r>
  <r>
    <x v="3"/>
    <x v="277"/>
    <m/>
    <x v="48"/>
    <m/>
    <x v="5"/>
    <x v="4"/>
    <x v="1"/>
    <x v="0"/>
    <x v="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5B3E59C-4DAF-4C47-BF33-058738E80B45}" name="PTProfitLoss" cacheId="2" applyNumberFormats="0" applyBorderFormats="0" applyFontFormats="0" applyPatternFormats="0" applyAlignmentFormats="0" applyWidthHeightFormats="1" dataCaption="Values" updatedVersion="8" minRefreshableVersion="5" showDrill="0" rowGrandTotals="0" itemPrintTitles="1" createdVersion="8" indent="0" outline="1" outlineData="1" multipleFieldFilters="0" chartFormat="1" rowHeaderCaption="Personal Profit &amp; Loss" fieldListSortAscending="1">
  <location ref="K16:N42" firstHeaderRow="0" firstDataRow="1" firstDataCol="1"/>
  <pivotFields count="11">
    <pivotField subtotalTop="0" showAll="0" insertBlankRow="1"/>
    <pivotField subtotalTop="0" showAll="0" insertBlankRow="1">
      <items count="835">
        <item m="1" x="557"/>
        <item m="1" x="556"/>
        <item m="1" x="558"/>
        <item m="1" x="559"/>
        <item m="1" x="560"/>
        <item m="1" x="561"/>
        <item m="1" x="562"/>
        <item m="1" x="563"/>
        <item m="1" x="564"/>
        <item m="1" x="565"/>
        <item m="1" x="566"/>
        <item m="1" x="567"/>
        <item m="1" x="581"/>
        <item m="1" x="568"/>
        <item m="1" x="569"/>
        <item m="1" x="570"/>
        <item m="1" x="571"/>
        <item m="1" x="572"/>
        <item m="1" x="579"/>
        <item m="1" x="580"/>
        <item m="1" x="573"/>
        <item m="1" x="574"/>
        <item m="1" x="575"/>
        <item m="1" x="576"/>
        <item m="1" x="577"/>
        <item m="1" x="578"/>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829"/>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690"/>
        <item m="1" x="691"/>
        <item m="1" x="693"/>
        <item m="1" x="692"/>
        <item m="1" x="694"/>
        <item m="1" x="695"/>
        <item m="1" x="696"/>
        <item m="1" x="697"/>
        <item m="1" x="698"/>
        <item m="1" x="699"/>
        <item m="1" x="700"/>
        <item m="1" x="701"/>
        <item m="1" x="702"/>
        <item m="1" x="703"/>
        <item m="1" x="704"/>
        <item m="1" x="705"/>
        <item m="1" x="706"/>
        <item m="1" x="707"/>
        <item m="1" x="708"/>
        <item m="1" x="709"/>
        <item m="1" x="710"/>
        <item m="1" x="711"/>
        <item m="1" x="712"/>
        <item m="1" x="713"/>
        <item m="1" x="714"/>
        <item m="1" x="715"/>
        <item m="1" x="716"/>
        <item m="1" x="717"/>
        <item m="1" x="718"/>
        <item m="1" x="719"/>
        <item m="1" x="720"/>
        <item m="1" x="721"/>
        <item m="1" x="722"/>
        <item m="1" x="723"/>
        <item m="1" x="724"/>
        <item m="1" x="725"/>
        <item m="1" x="726"/>
        <item m="1" x="727"/>
        <item m="1" x="728"/>
        <item m="1" x="729"/>
        <item m="1" x="730"/>
        <item m="1" x="731"/>
        <item m="1" x="732"/>
        <item m="1" x="733"/>
        <item m="1" x="734"/>
        <item m="1" x="735"/>
        <item m="1" x="736"/>
        <item m="1" x="737"/>
        <item m="1" x="738"/>
        <item m="1" x="739"/>
        <item m="1" x="740"/>
        <item m="1" x="741"/>
        <item m="1" x="742"/>
        <item m="1" x="743"/>
        <item m="1" x="744"/>
        <item m="1" x="745"/>
        <item m="1" x="746"/>
        <item m="1" x="747"/>
        <item m="1" x="748"/>
        <item m="1" x="830"/>
        <item m="1" x="749"/>
        <item m="1" x="750"/>
        <item m="1" x="751"/>
        <item m="1" x="752"/>
        <item m="1" x="753"/>
        <item m="1" x="754"/>
        <item m="1" x="755"/>
        <item m="1" x="756"/>
        <item m="1" x="757"/>
        <item m="1" x="758"/>
        <item m="1" x="759"/>
        <item m="1" x="760"/>
        <item m="1" x="761"/>
        <item m="1" x="762"/>
        <item m="1" x="763"/>
        <item m="1" x="764"/>
        <item m="1" x="765"/>
        <item m="1" x="766"/>
        <item m="1" x="767"/>
        <item m="1" x="768"/>
        <item m="1" x="769"/>
        <item m="1" x="770"/>
        <item m="1" x="771"/>
        <item m="1" x="772"/>
        <item m="1" x="773"/>
        <item m="1" x="774"/>
        <item m="1" x="775"/>
        <item m="1" x="831"/>
        <item m="1" x="776"/>
        <item m="1" x="777"/>
        <item m="1" x="778"/>
        <item m="1" x="779"/>
        <item m="1" x="780"/>
        <item m="1" x="781"/>
        <item m="1" x="782"/>
        <item m="1" x="783"/>
        <item m="1" x="784"/>
        <item m="1" x="785"/>
        <item m="1" x="786"/>
        <item m="1" x="787"/>
        <item m="1" x="788"/>
        <item m="1" x="789"/>
        <item m="1" x="790"/>
        <item m="1" x="791"/>
        <item m="1" x="792"/>
        <item m="1" x="793"/>
        <item m="1" x="794"/>
        <item m="1" x="795"/>
        <item m="1" x="796"/>
        <item m="1" x="797"/>
        <item m="1" x="798"/>
        <item m="1" x="799"/>
        <item m="1" x="800"/>
        <item m="1" x="801"/>
        <item m="1" x="802"/>
        <item m="1" x="803"/>
        <item m="1" x="804"/>
        <item m="1" x="805"/>
        <item m="1" x="806"/>
        <item m="1" x="807"/>
        <item m="1" x="808"/>
        <item m="1" x="809"/>
        <item m="1" x="810"/>
        <item m="1" x="811"/>
        <item m="1" x="812"/>
        <item m="1" x="813"/>
        <item m="1" x="814"/>
        <item m="1" x="815"/>
        <item m="1" x="816"/>
        <item m="1" x="817"/>
        <item m="1" x="818"/>
        <item m="1" x="819"/>
        <item m="1" x="820"/>
        <item m="1" x="821"/>
        <item m="1" x="822"/>
        <item m="1" x="823"/>
        <item m="1" x="824"/>
        <item m="1" x="825"/>
        <item m="1" x="826"/>
        <item m="1" x="827"/>
        <item m="1" x="828"/>
        <item m="1" x="832"/>
        <item m="1" x="833"/>
        <item m="1" x="279"/>
        <item m="1" x="278"/>
        <item m="1" x="280"/>
        <item m="1" x="281"/>
        <item m="1" x="282"/>
        <item m="1" x="283"/>
        <item m="1" x="284"/>
        <item m="1" x="285"/>
        <item m="1" x="286"/>
        <item m="1" x="287"/>
        <item m="1" x="288"/>
        <item m="1" x="289"/>
        <item m="1" x="303"/>
        <item m="1" x="290"/>
        <item m="1" x="291"/>
        <item m="1" x="292"/>
        <item m="1" x="293"/>
        <item m="1" x="294"/>
        <item m="1" x="301"/>
        <item m="1" x="302"/>
        <item m="1" x="295"/>
        <item m="1" x="296"/>
        <item m="1" x="297"/>
        <item m="1" x="298"/>
        <item m="1" x="299"/>
        <item m="1" x="300"/>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551"/>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5"/>
        <item m="1" x="414"/>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552"/>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553"/>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4"/>
        <item m="1" x="555"/>
        <item x="1"/>
        <item x="0"/>
        <item x="2"/>
        <item x="3"/>
        <item x="4"/>
        <item x="5"/>
        <item x="6"/>
        <item x="7"/>
        <item x="8"/>
        <item x="9"/>
        <item x="10"/>
        <item x="11"/>
        <item x="25"/>
        <item x="12"/>
        <item x="13"/>
        <item x="14"/>
        <item x="15"/>
        <item x="16"/>
        <item x="23"/>
        <item x="24"/>
        <item x="17"/>
        <item x="18"/>
        <item x="19"/>
        <item x="20"/>
        <item x="21"/>
        <item x="22"/>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273"/>
        <item x="110"/>
        <item x="111"/>
        <item x="112"/>
        <item x="113"/>
        <item x="114"/>
        <item x="115"/>
        <item x="116"/>
        <item x="117"/>
        <item x="118"/>
        <item x="119"/>
        <item x="120"/>
        <item x="121"/>
        <item x="122"/>
        <item x="123"/>
        <item x="124"/>
        <item x="125"/>
        <item x="126"/>
        <item x="127"/>
        <item x="128"/>
        <item x="129"/>
        <item x="130"/>
        <item x="131"/>
        <item x="132"/>
        <item x="133"/>
        <item x="134"/>
        <item x="135"/>
        <item x="137"/>
        <item x="136"/>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274"/>
        <item x="193"/>
        <item x="194"/>
        <item x="195"/>
        <item x="196"/>
        <item x="197"/>
        <item x="198"/>
        <item x="199"/>
        <item x="200"/>
        <item x="201"/>
        <item x="202"/>
        <item x="203"/>
        <item x="204"/>
        <item x="205"/>
        <item x="206"/>
        <item x="207"/>
        <item x="208"/>
        <item x="209"/>
        <item x="210"/>
        <item x="211"/>
        <item x="212"/>
        <item x="213"/>
        <item x="214"/>
        <item x="215"/>
        <item x="216"/>
        <item x="217"/>
        <item x="218"/>
        <item x="219"/>
        <item x="275"/>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6"/>
        <item x="277"/>
        <item t="default"/>
      </items>
    </pivotField>
    <pivotField subtotalTop="0" showAll="0" insertBlankRow="1"/>
    <pivotField subtotalTop="0" showAll="0" insertBlankRow="1"/>
    <pivotField dataField="1" subtotalTop="0" showAll="0" insertBlankRow="1"/>
    <pivotField dataField="1" subtotalTop="0" showAll="0" insertBlankRow="1"/>
    <pivotField axis="axisRow" subtotalTop="0" showAll="0" insertBlankRow="1">
      <items count="13">
        <item x="2"/>
        <item x="4"/>
        <item x="0"/>
        <item x="6"/>
        <item x="1"/>
        <item x="5"/>
        <item x="7"/>
        <item x="8"/>
        <item x="3"/>
        <item x="9"/>
        <item x="10"/>
        <item x="11"/>
        <item t="default"/>
      </items>
    </pivotField>
    <pivotField axis="axisRow" subtotalTop="0" showAll="0" insertBlankRow="1">
      <items count="5">
        <item x="0"/>
        <item x="1"/>
        <item sd="0" f="1" x="3"/>
        <item x="2"/>
        <item t="default"/>
      </items>
    </pivotField>
    <pivotField subtotalTop="0" showAll="0" insertBlankRow="1"/>
    <pivotField subtotalTop="0" showAll="0" insertBlankRow="1"/>
    <pivotField dataField="1" subtotalTop="0" dragToRow="0" dragToCol="0" dragToPage="0" showAll="0" insertBlankRow="1" defaultSubtotal="0"/>
  </pivotFields>
  <rowFields count="2">
    <field x="7"/>
    <field x="6"/>
  </rowFields>
  <rowItems count="26">
    <i>
      <x/>
    </i>
    <i r="1">
      <x v="2"/>
    </i>
    <i r="1">
      <x v="4"/>
    </i>
    <i r="1">
      <x v="9"/>
    </i>
    <i t="default">
      <x/>
    </i>
    <i t="blank">
      <x/>
    </i>
    <i>
      <x v="1"/>
    </i>
    <i r="1">
      <x/>
    </i>
    <i r="1">
      <x v="1"/>
    </i>
    <i r="1">
      <x v="2"/>
    </i>
    <i r="1">
      <x v="3"/>
    </i>
    <i r="1">
      <x v="4"/>
    </i>
    <i r="1">
      <x v="5"/>
    </i>
    <i r="1">
      <x v="6"/>
    </i>
    <i r="1">
      <x v="7"/>
    </i>
    <i r="1">
      <x v="9"/>
    </i>
    <i r="1">
      <x v="10"/>
    </i>
    <i r="1">
      <x v="11"/>
    </i>
    <i t="default">
      <x v="1"/>
    </i>
    <i t="blank">
      <x v="1"/>
    </i>
    <i>
      <x v="2"/>
    </i>
    <i t="blank">
      <x v="2"/>
    </i>
    <i>
      <x v="3"/>
    </i>
    <i r="1">
      <x v="8"/>
    </i>
    <i t="default">
      <x v="3"/>
    </i>
    <i t="blank">
      <x v="3"/>
    </i>
  </rowItems>
  <colFields count="1">
    <field x="-2"/>
  </colFields>
  <colItems count="3">
    <i>
      <x/>
    </i>
    <i i="1">
      <x v="1"/>
    </i>
    <i i="2">
      <x v="2"/>
    </i>
  </colItems>
  <dataFields count="3">
    <dataField name="Actual " fld="4" baseField="0" baseItem="0" numFmtId="167"/>
    <dataField name="Budget " fld="5" baseField="0" baseItem="0" numFmtId="167"/>
    <dataField name="Variance " fld="10" baseField="0" baseItem="0" numFmtId="167"/>
  </dataFields>
  <formats count="4">
    <format dxfId="40">
      <pivotArea dataOnly="0" labelOnly="1" outline="0" fieldPosition="0">
        <references count="1">
          <reference field="4294967294" count="3">
            <x v="0"/>
            <x v="1"/>
            <x v="2"/>
          </reference>
        </references>
      </pivotArea>
    </format>
    <format dxfId="39">
      <pivotArea outline="0" fieldPosition="0">
        <references count="1">
          <reference field="4294967294" count="1">
            <x v="0"/>
          </reference>
        </references>
      </pivotArea>
    </format>
    <format dxfId="38">
      <pivotArea outline="0" fieldPosition="0">
        <references count="1">
          <reference field="4294967294" count="1">
            <x v="1"/>
          </reference>
        </references>
      </pivotArea>
    </format>
    <format dxfId="37">
      <pivotArea outline="0" fieldPosition="0">
        <references count="1">
          <reference field="4294967294" count="1">
            <x v="2"/>
          </reference>
        </references>
      </pivotArea>
    </format>
  </formats>
  <pivotTableStyleInfo name="PivotStyleLight5" showRowHeaders="1" showColHeaders="1" showRowStripes="0" showColStripes="0" showLastColumn="1"/>
  <filters count="1">
    <filter fld="1" type="dateBetween" evalOrder="-1" id="339" name="Date">
      <autoFilter ref="A1">
        <filterColumn colId="0">
          <customFilters and="1">
            <customFilter operator="greaterThanOrEqual" val="46023"/>
            <customFilter operator="lessThanOrEqual" val="4638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x14:conditionalFormats count="1">
          <x14:conditionalFormat scope="field" priority="2" id="{FF03DD85-5A66-4F3C-B5A8-ECD220A11769}">
            <x14:pivotAreas count="1">
              <pivotArea outline="0" collapsedLevelsAreSubtotals="1" fieldPosition="0">
                <references count="2">
                  <reference field="4294967294" count="1" selected="0">
                    <x v="2"/>
                  </reference>
                  <reference field="6" count="0" selected="0"/>
                </references>
              </pivotArea>
            </x14:pivotAreas>
          </x14:conditionalFormat>
        </x14:conditionalFormats>
      </x14:pivotTableDefinition>
    </ext>
    <ext xmlns:xpdl="http://schemas.microsoft.com/office/spreadsheetml/2016/pivotdefaultlayout" uri="{747A6164-185A-40DC-8AA5-F01512510D54}">
      <xpdl:pivotTableDefinition16 SubtotalsOnTopDefault="0" InsertBlankRowDefault="1"/>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ACCBDC0-A209-45AF-9AEC-A114CC9462A3}"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Account Type">
  <location ref="N27:P31" firstHeaderRow="0" firstDataRow="1" firstDataCol="1"/>
  <pivotFields count="7">
    <pivotField numFmtId="14" showAll="0">
      <items count="38">
        <item m="1" x="25"/>
        <item m="1" x="26"/>
        <item m="1" x="27"/>
        <item m="1" x="28"/>
        <item m="1" x="29"/>
        <item m="1" x="30"/>
        <item m="1" x="31"/>
        <item m="1" x="32"/>
        <item m="1" x="33"/>
        <item m="1" x="34"/>
        <item m="1" x="35"/>
        <item m="1" x="36"/>
        <item m="1" x="12"/>
        <item m="1" x="13"/>
        <item m="1" x="14"/>
        <item m="1" x="15"/>
        <item m="1" x="16"/>
        <item m="1" x="17"/>
        <item m="1" x="18"/>
        <item m="1" x="19"/>
        <item m="1" x="20"/>
        <item m="1" x="21"/>
        <item m="1" x="22"/>
        <item m="1" x="23"/>
        <item m="1" x="24"/>
        <item x="0"/>
        <item x="1"/>
        <item x="2"/>
        <item x="3"/>
        <item x="4"/>
        <item x="5"/>
        <item x="6"/>
        <item x="7"/>
        <item x="8"/>
        <item x="9"/>
        <item x="10"/>
        <item x="11"/>
        <item t="default"/>
      </items>
    </pivotField>
    <pivotField axis="axisRow" showAll="0">
      <items count="7">
        <item h="1" m="1" x="3"/>
        <item x="2"/>
        <item h="1" m="1" x="4"/>
        <item x="0"/>
        <item x="1"/>
        <item h="1" m="1" x="5"/>
        <item t="default"/>
      </items>
    </pivotField>
    <pivotField dataField="1" numFmtId="3" showAll="0"/>
    <pivotField dataField="1" showAll="0"/>
    <pivotField dragToRow="0" dragToCol="0" dragToPage="0" showAll="0" defaultSubtotal="0"/>
    <pivotField showAll="0" defaultSubtotal="0"/>
    <pivotField showAll="0" defaultSubtotal="0">
      <items count="3">
        <item x="0"/>
        <item x="1"/>
        <item x="2"/>
      </items>
    </pivotField>
  </pivotFields>
  <rowFields count="1">
    <field x="1"/>
  </rowFields>
  <rowItems count="4">
    <i>
      <x v="1"/>
    </i>
    <i>
      <x v="3"/>
    </i>
    <i>
      <x v="4"/>
    </i>
    <i t="grand">
      <x/>
    </i>
  </rowItems>
  <colFields count="1">
    <field x="-2"/>
  </colFields>
  <colItems count="2">
    <i>
      <x/>
    </i>
    <i i="1">
      <x v="1"/>
    </i>
  </colItems>
  <dataFields count="2">
    <dataField name="Sum of Saved" fld="2" baseField="0" baseItem="0" numFmtId="3"/>
    <dataField name="Sum of Goal" fld="3" baseField="0" baseItem="0"/>
  </dataField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E7E0290-B506-4DC0-A805-EB0494E7A964}" name="ptSavingsMonthly" cacheId="0" applyNumberFormats="0" applyBorderFormats="0" applyFontFormats="0" applyPatternFormats="0" applyAlignmentFormats="0" applyWidthHeightFormats="1" dataCaption="Values" updatedVersion="8" minRefreshableVersion="5" rowGrandTotals="0" itemPrintTitles="1" createdVersion="8" indent="0" outline="1" outlineData="1" multipleFieldFilters="0" chartFormat="12" rowHeaderCaption=" ">
  <location ref="J27:L40" firstHeaderRow="0" firstDataRow="1" firstDataCol="1"/>
  <pivotFields count="7">
    <pivotField numFmtId="14" showAll="0">
      <items count="38">
        <item m="1" x="26"/>
        <item m="1" x="27"/>
        <item m="1" x="28"/>
        <item m="1" x="29"/>
        <item m="1" x="30"/>
        <item m="1" x="31"/>
        <item m="1" x="32"/>
        <item m="1" x="33"/>
        <item m="1" x="34"/>
        <item m="1" x="35"/>
        <item m="1" x="36"/>
        <item m="1" x="12"/>
        <item m="1" x="25"/>
        <item m="1" x="13"/>
        <item m="1" x="14"/>
        <item m="1" x="15"/>
        <item m="1" x="16"/>
        <item m="1" x="17"/>
        <item m="1" x="18"/>
        <item m="1" x="19"/>
        <item m="1" x="20"/>
        <item m="1" x="21"/>
        <item m="1" x="22"/>
        <item m="1" x="23"/>
        <item m="1" x="24"/>
        <item x="0"/>
        <item x="1"/>
        <item x="2"/>
        <item x="3"/>
        <item x="4"/>
        <item x="5"/>
        <item x="6"/>
        <item x="7"/>
        <item x="8"/>
        <item x="9"/>
        <item x="10"/>
        <item x="11"/>
        <item t="default"/>
      </items>
    </pivotField>
    <pivotField showAll="0">
      <items count="7">
        <item m="1" x="3"/>
        <item x="2"/>
        <item m="1" x="4"/>
        <item x="0"/>
        <item x="1"/>
        <item m="1" x="5"/>
        <item t="default"/>
      </items>
    </pivotField>
    <pivotField dataField="1" showAll="0"/>
    <pivotField dataField="1" showAll="0"/>
    <pivotField dragToRow="0" dragToCol="0" dragToPage="0" showAll="0" defaultSubtotal="0"/>
    <pivotField axis="axisRow" showAll="0">
      <items count="15">
        <item h="1" x="0"/>
        <item x="1"/>
        <item x="2"/>
        <item x="3"/>
        <item x="4"/>
        <item x="5"/>
        <item x="6"/>
        <item x="7"/>
        <item x="8"/>
        <item x="9"/>
        <item x="10"/>
        <item x="11"/>
        <item x="12"/>
        <item h="1" x="13"/>
        <item t="default"/>
      </items>
    </pivotField>
    <pivotField axis="axisRow" showAll="0" defaultSubtotal="0">
      <items count="3">
        <item x="0"/>
        <item x="1"/>
        <item x="2"/>
      </items>
    </pivotField>
  </pivotFields>
  <rowFields count="2">
    <field x="6"/>
    <field x="5"/>
  </rowFields>
  <rowItems count="13">
    <i>
      <x v="1"/>
    </i>
    <i r="1">
      <x v="1"/>
    </i>
    <i r="1">
      <x v="2"/>
    </i>
    <i r="1">
      <x v="3"/>
    </i>
    <i r="1">
      <x v="4"/>
    </i>
    <i r="1">
      <x v="5"/>
    </i>
    <i r="1">
      <x v="6"/>
    </i>
    <i r="1">
      <x v="7"/>
    </i>
    <i r="1">
      <x v="8"/>
    </i>
    <i r="1">
      <x v="9"/>
    </i>
    <i r="1">
      <x v="10"/>
    </i>
    <i r="1">
      <x v="11"/>
    </i>
    <i r="1">
      <x v="12"/>
    </i>
  </rowItems>
  <colFields count="1">
    <field x="-2"/>
  </colFields>
  <colItems count="2">
    <i>
      <x/>
    </i>
    <i i="1">
      <x v="1"/>
    </i>
  </colItems>
  <dataFields count="2">
    <dataField name="Saved " fld="2" showDataAs="runTotal" baseField="5" baseItem="0" numFmtId="3"/>
    <dataField name="Goal " fld="3" showDataAs="runTotal" baseField="5" baseItem="0" numFmtId="3"/>
  </dataFields>
  <formats count="3">
    <format dxfId="33">
      <pivotArea dataOnly="0" labelOnly="1" outline="0" fieldPosition="0">
        <references count="1">
          <reference field="4294967294" count="1">
            <x v="1"/>
          </reference>
        </references>
      </pivotArea>
    </format>
    <format dxfId="32">
      <pivotArea dataOnly="0" labelOnly="1" outline="0" fieldPosition="0">
        <references count="1">
          <reference field="4294967294" count="1">
            <x v="0"/>
          </reference>
        </references>
      </pivotArea>
    </format>
    <format dxfId="31">
      <pivotArea outline="0" fieldPosition="0">
        <references count="1">
          <reference field="4294967294" count="1">
            <x v="0"/>
          </reference>
        </references>
      </pivotArea>
    </format>
  </formats>
  <chartFormats count="2">
    <chartFormat chart="6" format="7" series="1">
      <pivotArea type="data" outline="0" fieldPosition="0">
        <references count="1">
          <reference field="4294967294" count="1" selected="0">
            <x v="1"/>
          </reference>
        </references>
      </pivotArea>
    </chartFormat>
    <chartFormat chart="6" format="9" series="1">
      <pivotArea type="data" outline="0" fieldPosition="0">
        <references count="1">
          <reference field="4294967294" count="1" selected="0">
            <x v="0"/>
          </reference>
        </references>
      </pivotArea>
    </chartFormat>
  </chartFormats>
  <pivotTableStyleInfo name="PivotStyleLight19" showRowHeaders="1" showColHeaders="1" showRowStripes="0" showColStripes="0" showLastColumn="1"/>
  <filters count="1">
    <filter fld="0" type="dateBetween" evalOrder="-1" id="154" name="Date">
      <autoFilter ref="A1">
        <filterColumn colId="0">
          <customFilters and="1">
            <customFilter operator="greaterThanOrEqual" val="46023"/>
            <customFilter operator="lessThanOrEqual" val="4638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B115550-3C2D-4A5E-B16A-053F486CEE93}" name="ptSavingsTotal" cacheId="0" applyNumberFormats="0" applyBorderFormats="0" applyFontFormats="0" applyPatternFormats="0" applyAlignmentFormats="0" applyWidthHeightFormats="1" dataCaption="Values" updatedVersion="8" minRefreshableVersion="5" itemPrintTitles="1" createdVersion="8" indent="0" outline="1" outlineData="1" multipleFieldFilters="0" chartFormat="14" rowHeaderCaption=" ">
  <location ref="G27:H28" firstHeaderRow="0" firstDataRow="1" firstDataCol="0"/>
  <pivotFields count="7">
    <pivotField numFmtId="14" showAll="0">
      <items count="38">
        <item m="1" x="26"/>
        <item m="1" x="27"/>
        <item m="1" x="28"/>
        <item m="1" x="29"/>
        <item m="1" x="30"/>
        <item m="1" x="31"/>
        <item m="1" x="32"/>
        <item m="1" x="33"/>
        <item m="1" x="34"/>
        <item m="1" x="35"/>
        <item m="1" x="36"/>
        <item m="1" x="12"/>
        <item m="1" x="25"/>
        <item m="1" x="13"/>
        <item m="1" x="14"/>
        <item m="1" x="15"/>
        <item m="1" x="16"/>
        <item m="1" x="17"/>
        <item m="1" x="18"/>
        <item m="1" x="19"/>
        <item m="1" x="20"/>
        <item m="1" x="21"/>
        <item m="1" x="22"/>
        <item m="1" x="23"/>
        <item m="1" x="24"/>
        <item x="0"/>
        <item x="1"/>
        <item x="2"/>
        <item x="3"/>
        <item x="4"/>
        <item x="5"/>
        <item x="6"/>
        <item x="7"/>
        <item x="8"/>
        <item x="9"/>
        <item x="10"/>
        <item x="11"/>
        <item t="default"/>
      </items>
    </pivotField>
    <pivotField showAll="0">
      <items count="7">
        <item m="1" x="3"/>
        <item x="2"/>
        <item m="1" x="4"/>
        <item x="0"/>
        <item x="1"/>
        <item m="1" x="5"/>
        <item t="default"/>
      </items>
    </pivotField>
    <pivotField dataField="1" showAll="0"/>
    <pivotField dataField="1" showAll="0"/>
    <pivotField dragToRow="0" dragToCol="0" dragToPage="0" showAll="0" defaultSubtotal="0"/>
    <pivotField showAll="0">
      <items count="15">
        <item x="0"/>
        <item x="1"/>
        <item x="2"/>
        <item x="3"/>
        <item x="4"/>
        <item x="5"/>
        <item x="6"/>
        <item x="7"/>
        <item x="8"/>
        <item x="9"/>
        <item x="10"/>
        <item x="11"/>
        <item x="12"/>
        <item x="13"/>
        <item t="default"/>
      </items>
    </pivotField>
    <pivotField showAll="0">
      <items count="4">
        <item x="0"/>
        <item x="1"/>
        <item x="2"/>
        <item t="default"/>
      </items>
    </pivotField>
  </pivotFields>
  <rowItems count="1">
    <i/>
  </rowItems>
  <colFields count="1">
    <field x="-2"/>
  </colFields>
  <colItems count="2">
    <i>
      <x/>
    </i>
    <i i="1">
      <x v="1"/>
    </i>
  </colItems>
  <dataFields count="2">
    <dataField name="Saved " fld="2" baseField="0" baseItem="0" numFmtId="3"/>
    <dataField name="Goal " fld="3" baseField="0" baseItem="0" numFmtId="3"/>
  </dataFields>
  <formats count="3">
    <format dxfId="36">
      <pivotArea dataOnly="0" labelOnly="1" outline="0" fieldPosition="0">
        <references count="1">
          <reference field="4294967294" count="1">
            <x v="1"/>
          </reference>
        </references>
      </pivotArea>
    </format>
    <format dxfId="35">
      <pivotArea dataOnly="0" labelOnly="1" outline="0" fieldPosition="0">
        <references count="1">
          <reference field="4294967294" count="1">
            <x v="0"/>
          </reference>
        </references>
      </pivotArea>
    </format>
    <format dxfId="34">
      <pivotArea outline="0" fieldPosition="0">
        <references count="1">
          <reference field="4294967294" count="1">
            <x v="0"/>
          </reference>
        </references>
      </pivotArea>
    </format>
  </formats>
  <chartFormats count="6">
    <chartFormat chart="6" format="7" series="1">
      <pivotArea type="data" outline="0" fieldPosition="0">
        <references count="1">
          <reference field="4294967294" count="1" selected="0">
            <x v="1"/>
          </reference>
        </references>
      </pivotArea>
    </chartFormat>
    <chartFormat chart="1" format="9" series="1">
      <pivotArea type="data" outline="0" fieldPosition="0">
        <references count="1">
          <reference field="4294967294" count="1" selected="0">
            <x v="1"/>
          </reference>
        </references>
      </pivotArea>
    </chartFormat>
    <chartFormat chart="8" format="1" series="1">
      <pivotArea type="data" outline="0" fieldPosition="0">
        <references count="1">
          <reference field="4294967294" count="1" selected="0">
            <x v="1"/>
          </reference>
        </references>
      </pivotArea>
    </chartFormat>
    <chartFormat chart="8" format="4">
      <pivotArea type="data" outline="0" fieldPosition="0">
        <references count="1">
          <reference field="4294967294" count="1" selected="0">
            <x v="1"/>
          </reference>
        </references>
      </pivotArea>
    </chartFormat>
    <chartFormat chart="8" format="7" series="1">
      <pivotArea type="data" outline="0" fieldPosition="0">
        <references count="1">
          <reference field="4294967294" count="1" selected="0">
            <x v="0"/>
          </reference>
        </references>
      </pivotArea>
    </chartFormat>
    <chartFormat chart="8" format="8">
      <pivotArea type="data" outline="0" fieldPosition="0">
        <references count="1">
          <reference field="4294967294" count="1" selected="0">
            <x v="0"/>
          </reference>
        </references>
      </pivotArea>
    </chartFormat>
  </chartFormats>
  <pivotTableStyleInfo name="PivotStyleLight19" showRowHeaders="1" showColHeaders="1" showRowStripes="0" showColStripes="0" showLastColumn="1"/>
  <filters count="1">
    <filter fld="0" type="dateBetween" evalOrder="-1" id="154" name="Date">
      <autoFilter ref="A1">
        <filterColumn colId="0">
          <customFilters and="1">
            <customFilter operator="greaterThanOrEqual" val="46023"/>
            <customFilter operator="lessThanOrEqual" val="4638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EFF7796D-37CB-4DBF-AE24-ECC2C2657D9D}" name="PTIncomeDoughnut" cacheId="2" applyNumberFormats="0" applyBorderFormats="0" applyFontFormats="0" applyPatternFormats="0" applyAlignmentFormats="0" applyWidthHeightFormats="1" dataCaption="Values" updatedVersion="8" minRefreshableVersion="5" showDrill="0" rowGrandTotals="0" colGrandTotals="0" itemPrintTitles="1" createdVersion="8" indent="0" outline="1" outlineData="1" multipleFieldFilters="0" chartFormat="41" rowHeaderCaption="Row Labels" fieldListSortAscending="1">
  <location ref="R6:S15" firstHeaderRow="1" firstDataRow="1" firstDataCol="1"/>
  <pivotFields count="11">
    <pivotField subtotalTop="0" showAll="0" insertBlankRow="1"/>
    <pivotField subtotalTop="0" showAll="0" insertBlankRow="1">
      <items count="835">
        <item m="1" x="557"/>
        <item m="1" x="556"/>
        <item m="1" x="558"/>
        <item m="1" x="559"/>
        <item m="1" x="560"/>
        <item m="1" x="561"/>
        <item m="1" x="562"/>
        <item m="1" x="563"/>
        <item m="1" x="564"/>
        <item m="1" x="565"/>
        <item m="1" x="566"/>
        <item m="1" x="567"/>
        <item m="1" x="581"/>
        <item m="1" x="568"/>
        <item m="1" x="569"/>
        <item m="1" x="570"/>
        <item m="1" x="571"/>
        <item m="1" x="572"/>
        <item m="1" x="579"/>
        <item m="1" x="580"/>
        <item m="1" x="573"/>
        <item m="1" x="574"/>
        <item m="1" x="575"/>
        <item m="1" x="576"/>
        <item m="1" x="577"/>
        <item m="1" x="578"/>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829"/>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690"/>
        <item m="1" x="691"/>
        <item m="1" x="693"/>
        <item m="1" x="692"/>
        <item m="1" x="694"/>
        <item m="1" x="695"/>
        <item m="1" x="696"/>
        <item m="1" x="697"/>
        <item m="1" x="698"/>
        <item m="1" x="699"/>
        <item m="1" x="700"/>
        <item m="1" x="701"/>
        <item m="1" x="702"/>
        <item m="1" x="703"/>
        <item m="1" x="704"/>
        <item m="1" x="705"/>
        <item m="1" x="706"/>
        <item m="1" x="707"/>
        <item m="1" x="708"/>
        <item m="1" x="709"/>
        <item m="1" x="710"/>
        <item m="1" x="711"/>
        <item m="1" x="712"/>
        <item m="1" x="713"/>
        <item m="1" x="714"/>
        <item m="1" x="715"/>
        <item m="1" x="716"/>
        <item m="1" x="717"/>
        <item m="1" x="718"/>
        <item m="1" x="719"/>
        <item m="1" x="720"/>
        <item m="1" x="721"/>
        <item m="1" x="722"/>
        <item m="1" x="723"/>
        <item m="1" x="724"/>
        <item m="1" x="725"/>
        <item m="1" x="726"/>
        <item m="1" x="727"/>
        <item m="1" x="728"/>
        <item m="1" x="729"/>
        <item m="1" x="730"/>
        <item m="1" x="731"/>
        <item m="1" x="732"/>
        <item m="1" x="733"/>
        <item m="1" x="734"/>
        <item m="1" x="735"/>
        <item m="1" x="736"/>
        <item m="1" x="737"/>
        <item m="1" x="738"/>
        <item m="1" x="739"/>
        <item m="1" x="740"/>
        <item m="1" x="741"/>
        <item m="1" x="742"/>
        <item m="1" x="743"/>
        <item m="1" x="744"/>
        <item m="1" x="745"/>
        <item m="1" x="746"/>
        <item m="1" x="747"/>
        <item m="1" x="748"/>
        <item m="1" x="830"/>
        <item m="1" x="749"/>
        <item m="1" x="750"/>
        <item m="1" x="751"/>
        <item m="1" x="752"/>
        <item m="1" x="753"/>
        <item m="1" x="754"/>
        <item m="1" x="755"/>
        <item m="1" x="756"/>
        <item m="1" x="757"/>
        <item m="1" x="758"/>
        <item m="1" x="759"/>
        <item m="1" x="760"/>
        <item m="1" x="761"/>
        <item m="1" x="762"/>
        <item m="1" x="763"/>
        <item m="1" x="764"/>
        <item m="1" x="765"/>
        <item m="1" x="766"/>
        <item m="1" x="767"/>
        <item m="1" x="768"/>
        <item m="1" x="769"/>
        <item m="1" x="770"/>
        <item m="1" x="771"/>
        <item m="1" x="772"/>
        <item m="1" x="773"/>
        <item m="1" x="774"/>
        <item m="1" x="775"/>
        <item m="1" x="831"/>
        <item m="1" x="776"/>
        <item m="1" x="777"/>
        <item m="1" x="778"/>
        <item m="1" x="779"/>
        <item m="1" x="780"/>
        <item m="1" x="781"/>
        <item m="1" x="782"/>
        <item m="1" x="783"/>
        <item m="1" x="784"/>
        <item m="1" x="785"/>
        <item m="1" x="786"/>
        <item m="1" x="787"/>
        <item m="1" x="788"/>
        <item m="1" x="789"/>
        <item m="1" x="790"/>
        <item m="1" x="791"/>
        <item m="1" x="792"/>
        <item m="1" x="793"/>
        <item m="1" x="794"/>
        <item m="1" x="795"/>
        <item m="1" x="796"/>
        <item m="1" x="797"/>
        <item m="1" x="798"/>
        <item m="1" x="799"/>
        <item m="1" x="800"/>
        <item m="1" x="801"/>
        <item m="1" x="802"/>
        <item m="1" x="803"/>
        <item m="1" x="804"/>
        <item m="1" x="805"/>
        <item m="1" x="806"/>
        <item m="1" x="807"/>
        <item m="1" x="808"/>
        <item m="1" x="809"/>
        <item m="1" x="810"/>
        <item m="1" x="811"/>
        <item m="1" x="812"/>
        <item m="1" x="813"/>
        <item m="1" x="814"/>
        <item m="1" x="815"/>
        <item m="1" x="816"/>
        <item m="1" x="817"/>
        <item m="1" x="818"/>
        <item m="1" x="819"/>
        <item m="1" x="820"/>
        <item m="1" x="821"/>
        <item m="1" x="822"/>
        <item m="1" x="823"/>
        <item m="1" x="824"/>
        <item m="1" x="825"/>
        <item m="1" x="826"/>
        <item m="1" x="827"/>
        <item m="1" x="828"/>
        <item m="1" x="832"/>
        <item m="1" x="833"/>
        <item m="1" x="279"/>
        <item m="1" x="278"/>
        <item m="1" x="280"/>
        <item m="1" x="281"/>
        <item m="1" x="282"/>
        <item m="1" x="283"/>
        <item m="1" x="284"/>
        <item m="1" x="285"/>
        <item m="1" x="286"/>
        <item m="1" x="287"/>
        <item m="1" x="288"/>
        <item m="1" x="289"/>
        <item m="1" x="303"/>
        <item m="1" x="290"/>
        <item m="1" x="291"/>
        <item m="1" x="292"/>
        <item m="1" x="293"/>
        <item m="1" x="294"/>
        <item m="1" x="301"/>
        <item m="1" x="302"/>
        <item m="1" x="295"/>
        <item m="1" x="296"/>
        <item m="1" x="297"/>
        <item m="1" x="298"/>
        <item m="1" x="299"/>
        <item m="1" x="300"/>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551"/>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5"/>
        <item m="1" x="414"/>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552"/>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553"/>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4"/>
        <item m="1" x="555"/>
        <item x="1"/>
        <item x="0"/>
        <item x="2"/>
        <item x="3"/>
        <item x="4"/>
        <item x="5"/>
        <item x="6"/>
        <item x="7"/>
        <item x="8"/>
        <item x="9"/>
        <item x="10"/>
        <item x="11"/>
        <item x="25"/>
        <item x="12"/>
        <item x="13"/>
        <item x="14"/>
        <item x="15"/>
        <item x="16"/>
        <item x="23"/>
        <item x="24"/>
        <item x="17"/>
        <item x="18"/>
        <item x="19"/>
        <item x="20"/>
        <item x="21"/>
        <item x="22"/>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273"/>
        <item x="110"/>
        <item x="111"/>
        <item x="112"/>
        <item x="113"/>
        <item x="114"/>
        <item x="115"/>
        <item x="116"/>
        <item x="117"/>
        <item x="118"/>
        <item x="119"/>
        <item x="120"/>
        <item x="121"/>
        <item x="122"/>
        <item x="123"/>
        <item x="124"/>
        <item x="125"/>
        <item x="126"/>
        <item x="127"/>
        <item x="128"/>
        <item x="129"/>
        <item x="130"/>
        <item x="131"/>
        <item x="132"/>
        <item x="133"/>
        <item x="134"/>
        <item x="135"/>
        <item x="137"/>
        <item x="136"/>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274"/>
        <item x="193"/>
        <item x="194"/>
        <item x="195"/>
        <item x="196"/>
        <item x="197"/>
        <item x="198"/>
        <item x="199"/>
        <item x="200"/>
        <item x="201"/>
        <item x="202"/>
        <item x="203"/>
        <item x="204"/>
        <item x="205"/>
        <item x="206"/>
        <item x="207"/>
        <item x="208"/>
        <item x="209"/>
        <item x="210"/>
        <item x="211"/>
        <item x="212"/>
        <item x="213"/>
        <item x="214"/>
        <item x="215"/>
        <item x="216"/>
        <item x="217"/>
        <item x="218"/>
        <item x="219"/>
        <item x="275"/>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6"/>
        <item x="277"/>
        <item t="default"/>
      </items>
    </pivotField>
    <pivotField subtotalTop="0" showAll="0" insertBlankRow="1"/>
    <pivotField axis="axisRow" subtotalTop="0" showAll="0" insertBlankRow="1" sortType="descending">
      <items count="51">
        <item x="8"/>
        <item x="2"/>
        <item x="9"/>
        <item x="18"/>
        <item x="17"/>
        <item x="10"/>
        <item x="11"/>
        <item x="19"/>
        <item x="6"/>
        <item x="14"/>
        <item x="5"/>
        <item x="15"/>
        <item x="1"/>
        <item x="7"/>
        <item x="4"/>
        <item x="16"/>
        <item x="3"/>
        <item x="12"/>
        <item x="0"/>
        <item x="13"/>
        <item m="1" x="49"/>
        <item x="20"/>
        <item x="21"/>
        <item x="22"/>
        <item x="23"/>
        <item x="24"/>
        <item x="25"/>
        <item x="26"/>
        <item x="27"/>
        <item x="28"/>
        <item x="29"/>
        <item x="30"/>
        <item x="31"/>
        <item x="32"/>
        <item x="33"/>
        <item x="34"/>
        <item x="35"/>
        <item x="36"/>
        <item x="37"/>
        <item x="38"/>
        <item x="39"/>
        <item x="40"/>
        <item x="41"/>
        <item x="42"/>
        <item x="43"/>
        <item x="44"/>
        <item x="45"/>
        <item x="46"/>
        <item x="47"/>
        <item x="48"/>
        <item t="default"/>
      </items>
      <autoSortScope>
        <pivotArea dataOnly="0" outline="0" fieldPosition="0">
          <references count="1">
            <reference field="4294967294" count="1" selected="0">
              <x v="0"/>
            </reference>
          </references>
        </pivotArea>
      </autoSortScope>
    </pivotField>
    <pivotField dataField="1" subtotalTop="0" showAll="0" insertBlankRow="1"/>
    <pivotField subtotalTop="0" showAll="0" insertBlankRow="1"/>
    <pivotField subtotalTop="0" showAll="0" insertBlankRow="1" sortType="ascending">
      <autoSortScope>
        <pivotArea dataOnly="0" outline="0" fieldPosition="0">
          <references count="1">
            <reference field="4294967294" count="1" selected="0">
              <x v="0"/>
            </reference>
          </references>
        </pivotArea>
      </autoSortScope>
    </pivotField>
    <pivotField subtotalTop="0" showAll="0" insertBlankRow="1">
      <items count="5">
        <item sd="0" x="0"/>
        <item h="1" x="1"/>
        <item h="1" sd="0" f="1" x="3"/>
        <item h="1" x="2"/>
        <item t="default"/>
      </items>
    </pivotField>
    <pivotField subtotalTop="0" showAll="0" insertBlankRow="1"/>
    <pivotField subtotalTop="0" showAll="0" insertBlankRow="1"/>
    <pivotField subtotalTop="0" dragToRow="0" dragToCol="0" dragToPage="0" showAll="0" insertBlankRow="1" defaultSubtotal="0"/>
  </pivotFields>
  <rowFields count="1">
    <field x="3"/>
  </rowFields>
  <rowItems count="9">
    <i>
      <x v="18"/>
    </i>
    <i>
      <x v="3"/>
    </i>
    <i>
      <x v="12"/>
    </i>
    <i>
      <x v="23"/>
    </i>
    <i>
      <x v="24"/>
    </i>
    <i>
      <x v="25"/>
    </i>
    <i>
      <x v="26"/>
    </i>
    <i>
      <x v="21"/>
    </i>
    <i>
      <x v="22"/>
    </i>
  </rowItems>
  <colItems count="1">
    <i/>
  </colItems>
  <dataFields count="1">
    <dataField name="Actual " fld="4" baseField="0" baseItem="0" numFmtId="167"/>
  </dataFields>
  <formats count="2">
    <format dxfId="19">
      <pivotArea dataOnly="0" labelOnly="1" outline="0" fieldPosition="0">
        <references count="1">
          <reference field="4294967294" count="1">
            <x v="0"/>
          </reference>
        </references>
      </pivotArea>
    </format>
    <format dxfId="18">
      <pivotArea outline="0" fieldPosition="0">
        <references count="1">
          <reference field="4294967294" count="1">
            <x v="0"/>
          </reference>
        </references>
      </pivotArea>
    </format>
  </formats>
  <chartFormats count="15">
    <chartFormat chart="2" format="0" series="1">
      <pivotArea type="data" outline="0" fieldPosition="0">
        <references count="1">
          <reference field="4294967294" count="1" selected="0">
            <x v="0"/>
          </reference>
        </references>
      </pivotArea>
    </chartFormat>
    <chartFormat chart="8" format="4" series="1">
      <pivotArea type="data" outline="0" fieldPosition="0">
        <references count="1">
          <reference field="4294967294" count="1" selected="0">
            <x v="0"/>
          </reference>
        </references>
      </pivotArea>
    </chartFormat>
    <chartFormat chart="10" format="0" series="1">
      <pivotArea type="data" outline="0" fieldPosition="0">
        <references count="1">
          <reference field="4294967294" count="1" selected="0">
            <x v="0"/>
          </reference>
        </references>
      </pivotArea>
    </chartFormat>
    <chartFormat chart="14" format="4" series="1">
      <pivotArea type="data" outline="0" fieldPosition="0">
        <references count="1">
          <reference field="4294967294" count="1" selected="0">
            <x v="0"/>
          </reference>
        </references>
      </pivotArea>
    </chartFormat>
    <chartFormat chart="20" format="4" series="1">
      <pivotArea type="data" outline="0" fieldPosition="0">
        <references count="1">
          <reference field="4294967294" count="1" selected="0">
            <x v="0"/>
          </reference>
        </references>
      </pivotArea>
    </chartFormat>
    <chartFormat chart="31" format="10" series="1">
      <pivotArea type="data" outline="0" fieldPosition="0">
        <references count="1">
          <reference field="4294967294" count="1" selected="0">
            <x v="0"/>
          </reference>
        </references>
      </pivotArea>
    </chartFormat>
    <chartFormat chart="31" format="11">
      <pivotArea type="data" outline="0" fieldPosition="0">
        <references count="2">
          <reference field="4294967294" count="1" selected="0">
            <x v="0"/>
          </reference>
          <reference field="3" count="1" selected="0">
            <x v="3"/>
          </reference>
        </references>
      </pivotArea>
    </chartFormat>
    <chartFormat chart="31" format="12">
      <pivotArea type="data" outline="0" fieldPosition="0">
        <references count="2">
          <reference field="4294967294" count="1" selected="0">
            <x v="0"/>
          </reference>
          <reference field="3" count="1" selected="0">
            <x v="12"/>
          </reference>
        </references>
      </pivotArea>
    </chartFormat>
    <chartFormat chart="31" format="13">
      <pivotArea type="data" outline="0" fieldPosition="0">
        <references count="2">
          <reference field="4294967294" count="1" selected="0">
            <x v="0"/>
          </reference>
          <reference field="3" count="1" selected="0">
            <x v="18"/>
          </reference>
        </references>
      </pivotArea>
    </chartFormat>
    <chartFormat chart="31" format="14">
      <pivotArea type="data" outline="0" fieldPosition="0">
        <references count="2">
          <reference field="4294967294" count="1" selected="0">
            <x v="0"/>
          </reference>
          <reference field="3" count="1" selected="0">
            <x v="23"/>
          </reference>
        </references>
      </pivotArea>
    </chartFormat>
    <chartFormat chart="31" format="15">
      <pivotArea type="data" outline="0" fieldPosition="0">
        <references count="2">
          <reference field="4294967294" count="1" selected="0">
            <x v="0"/>
          </reference>
          <reference field="3" count="1" selected="0">
            <x v="24"/>
          </reference>
        </references>
      </pivotArea>
    </chartFormat>
    <chartFormat chart="31" format="16">
      <pivotArea type="data" outline="0" fieldPosition="0">
        <references count="2">
          <reference field="4294967294" count="1" selected="0">
            <x v="0"/>
          </reference>
          <reference field="3" count="1" selected="0">
            <x v="25"/>
          </reference>
        </references>
      </pivotArea>
    </chartFormat>
    <chartFormat chart="31" format="17">
      <pivotArea type="data" outline="0" fieldPosition="0">
        <references count="2">
          <reference field="4294967294" count="1" selected="0">
            <x v="0"/>
          </reference>
          <reference field="3" count="1" selected="0">
            <x v="26"/>
          </reference>
        </references>
      </pivotArea>
    </chartFormat>
    <chartFormat chart="31" format="18">
      <pivotArea type="data" outline="0" fieldPosition="0">
        <references count="2">
          <reference field="4294967294" count="1" selected="0">
            <x v="0"/>
          </reference>
          <reference field="3" count="1" selected="0">
            <x v="21"/>
          </reference>
        </references>
      </pivotArea>
    </chartFormat>
    <chartFormat chart="31" format="19">
      <pivotArea type="data" outline="0" fieldPosition="0">
        <references count="2">
          <reference field="4294967294" count="1" selected="0">
            <x v="0"/>
          </reference>
          <reference field="3" count="1" selected="0">
            <x v="22"/>
          </reference>
        </references>
      </pivotArea>
    </chartFormat>
  </chartFormats>
  <pivotTableStyleInfo name="PivotStyleMedium8" showRowHeaders="1" showColHeaders="1" showRowStripes="0" showColStripes="0" showLastColumn="1"/>
  <filters count="1">
    <filter fld="1" type="dateBetween" evalOrder="-1" id="345" name="Date">
      <autoFilter ref="A1">
        <filterColumn colId="0">
          <customFilters and="1">
            <customFilter operator="greaterThanOrEqual" val="46023"/>
            <customFilter operator="lessThanOrEqual" val="4638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InsertBlankRowDefault="1"/>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1EF7310-E837-4E5C-89B2-5AFB328C1D5D}" name="Debt"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6">
  <location ref="C25:E32" firstHeaderRow="0" firstDataRow="1" firstDataCol="1"/>
  <pivotFields count="7">
    <pivotField axis="axisRow" showAll="0" sortType="ascending">
      <items count="15">
        <item m="1" x="11"/>
        <item m="1" x="12"/>
        <item m="1" x="13"/>
        <item m="1" x="9"/>
        <item m="1" x="10"/>
        <item m="1" x="6"/>
        <item m="1" x="7"/>
        <item m="1" x="8"/>
        <item n="👮 Pers Loan 1" x="3"/>
        <item n="👮 Pers Loan 2" x="4"/>
        <item x="0"/>
        <item x="1"/>
        <item x="2"/>
        <item x="5"/>
        <item t="default"/>
      </items>
      <autoSortScope>
        <pivotArea dataOnly="0" outline="0" fieldPosition="0">
          <references count="1">
            <reference field="4294967294" count="1" selected="0">
              <x v="0"/>
            </reference>
          </references>
        </pivotArea>
      </autoSortScope>
    </pivotField>
    <pivotField dataField="1" numFmtId="6" showAll="0"/>
    <pivotField numFmtId="10" showAll="0"/>
    <pivotField dataField="1" numFmtId="6" showAll="0"/>
    <pivotField numFmtId="6" showAll="0"/>
    <pivotField numFmtId="167" showAll="0"/>
    <pivotField numFmtId="9" showAll="0"/>
  </pivotFields>
  <rowFields count="1">
    <field x="0"/>
  </rowFields>
  <rowItems count="7">
    <i>
      <x v="12"/>
    </i>
    <i>
      <x v="9"/>
    </i>
    <i>
      <x v="11"/>
    </i>
    <i>
      <x v="13"/>
    </i>
    <i>
      <x v="10"/>
    </i>
    <i>
      <x v="8"/>
    </i>
    <i t="grand">
      <x/>
    </i>
  </rowItems>
  <colFields count="1">
    <field x="-2"/>
  </colFields>
  <colItems count="2">
    <i>
      <x/>
    </i>
    <i i="1">
      <x v="1"/>
    </i>
  </colItems>
  <dataFields count="2">
    <dataField name="Loan Amount" fld="1" baseField="0" baseItem="0" numFmtId="167"/>
    <dataField name="Repaid" fld="3" baseField="0" baseItem="0" numFmtId="167"/>
  </dataFields>
  <chartFormats count="3">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4" format="6">
      <pivotArea type="data" outline="0" fieldPosition="0">
        <references count="2">
          <reference field="4294967294" count="1" selected="0">
            <x v="0"/>
          </reference>
          <reference field="0" count="1" selected="0">
            <x v="8"/>
          </reference>
        </references>
      </pivotArea>
    </chartFormat>
  </chartFormats>
  <pivotTableStyleInfo name="PivotStyleLight1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F0FB8560-4DF5-4CD4-B5AC-1FF1BDA03558}" name="PTExpActBud" cacheId="2" applyNumberFormats="0" applyBorderFormats="0" applyFontFormats="0" applyPatternFormats="0" applyAlignmentFormats="0" applyWidthHeightFormats="1" dataCaption="Values" updatedVersion="8" minRefreshableVersion="5" showDrill="0" rowGrandTotals="0" colGrandTotals="0" itemPrintTitles="1" createdVersion="8" indent="0" outline="1" outlineData="1" multipleFieldFilters="0" chartFormat="29" rowHeaderCaption="Row Labels" fieldListSortAscending="1">
  <location ref="G6:I21" firstHeaderRow="0" firstDataRow="1" firstDataCol="1"/>
  <pivotFields count="11">
    <pivotField subtotalTop="0" showAll="0" insertBlankRow="1"/>
    <pivotField subtotalTop="0" showAll="0" insertBlankRow="1"/>
    <pivotField subtotalTop="0" showAll="0" insertBlankRow="1"/>
    <pivotField subtotalTop="0" showAll="0" insertBlankRow="1"/>
    <pivotField dataField="1" subtotalTop="0" showAll="0" insertBlankRow="1"/>
    <pivotField dataField="1" subtotalTop="0" showAll="0" insertBlankRow="1"/>
    <pivotField subtotalTop="0" showAll="0" insertBlankRow="1" sortType="ascending">
      <autoSortScope>
        <pivotArea dataOnly="0" outline="0" fieldPosition="0">
          <references count="1">
            <reference field="4294967294" count="1" selected="0">
              <x v="0"/>
            </reference>
          </references>
        </pivotArea>
      </autoSortScope>
    </pivotField>
    <pivotField subtotalTop="0" showAll="0" insertBlankRow="1">
      <items count="5">
        <item h="1" sd="0" x="0"/>
        <item x="1"/>
        <item h="1" sd="0" f="1" x="3"/>
        <item h="1" x="2"/>
        <item t="default"/>
      </items>
    </pivotField>
    <pivotField axis="axisRow" subtotalTop="0" showAll="0" insertBlankRow="1">
      <items count="4">
        <item n="2025" m="1" x="2"/>
        <item x="0"/>
        <item m="1" x="1"/>
        <item t="default"/>
      </items>
    </pivotField>
    <pivotField axis="axisRow" subtotalTop="0" showAll="0" insertBlankRow="1">
      <items count="13">
        <item x="0"/>
        <item x="1"/>
        <item x="2"/>
        <item x="3"/>
        <item x="4"/>
        <item x="5"/>
        <item x="6"/>
        <item x="7"/>
        <item x="8"/>
        <item x="9"/>
        <item x="10"/>
        <item x="11"/>
        <item t="default"/>
      </items>
    </pivotField>
    <pivotField subtotalTop="0" dragToRow="0" dragToCol="0" dragToPage="0" showAll="0" insertBlankRow="1" defaultSubtotal="0"/>
  </pivotFields>
  <rowFields count="2">
    <field x="8"/>
    <field x="9"/>
  </rowFields>
  <rowItems count="15">
    <i>
      <x v="1"/>
    </i>
    <i r="1">
      <x/>
    </i>
    <i r="1">
      <x v="1"/>
    </i>
    <i r="1">
      <x v="2"/>
    </i>
    <i r="1">
      <x v="3"/>
    </i>
    <i r="1">
      <x v="4"/>
    </i>
    <i r="1">
      <x v="5"/>
    </i>
    <i r="1">
      <x v="6"/>
    </i>
    <i r="1">
      <x v="7"/>
    </i>
    <i r="1">
      <x v="8"/>
    </i>
    <i r="1">
      <x v="9"/>
    </i>
    <i r="1">
      <x v="10"/>
    </i>
    <i r="1">
      <x v="11"/>
    </i>
    <i t="default">
      <x v="1"/>
    </i>
    <i t="blank">
      <x v="1"/>
    </i>
  </rowItems>
  <colFields count="1">
    <field x="-2"/>
  </colFields>
  <colItems count="2">
    <i>
      <x/>
    </i>
    <i i="1">
      <x v="1"/>
    </i>
  </colItems>
  <dataFields count="2">
    <dataField name="Actual " fld="4" baseField="0" baseItem="0" numFmtId="167"/>
    <dataField name="Budget " fld="5" baseField="0" baseItem="0" numFmtId="167"/>
  </dataFields>
  <formats count="3">
    <format dxfId="22">
      <pivotArea dataOnly="0" labelOnly="1" outline="0" fieldPosition="0">
        <references count="1">
          <reference field="4294967294" count="2">
            <x v="0"/>
            <x v="1"/>
          </reference>
        </references>
      </pivotArea>
    </format>
    <format dxfId="21">
      <pivotArea outline="0" fieldPosition="0">
        <references count="1">
          <reference field="4294967294" count="1">
            <x v="0"/>
          </reference>
        </references>
      </pivotArea>
    </format>
    <format dxfId="20">
      <pivotArea outline="0" fieldPosition="0">
        <references count="1">
          <reference field="4294967294" count="1">
            <x v="1"/>
          </reference>
        </references>
      </pivotArea>
    </format>
  </formats>
  <chartFormats count="6">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8" format="4" series="1">
      <pivotArea type="data" outline="0" fieldPosition="0">
        <references count="1">
          <reference field="4294967294" count="1" selected="0">
            <x v="0"/>
          </reference>
        </references>
      </pivotArea>
    </chartFormat>
    <chartFormat chart="8" format="5" series="1">
      <pivotArea type="data" outline="0" fieldPosition="0">
        <references count="1">
          <reference field="4294967294" count="1" selected="0">
            <x v="1"/>
          </reference>
        </references>
      </pivotArea>
    </chartFormat>
    <chartFormat chart="14" format="10" series="1">
      <pivotArea type="data" outline="0" fieldPosition="0">
        <references count="1">
          <reference field="4294967294" count="1" selected="0">
            <x v="0"/>
          </reference>
        </references>
      </pivotArea>
    </chartFormat>
    <chartFormat chart="14" format="11" series="1">
      <pivotArea type="data" outline="0" fieldPosition="0">
        <references count="1">
          <reference field="4294967294" count="1" selected="0">
            <x v="1"/>
          </reference>
        </references>
      </pivotArea>
    </chartFormat>
  </chartFormats>
  <pivotTableStyleInfo name="PivotStyleLight15" showRowHeaders="1" showColHeaders="1" showRowStripes="0" showColStripes="0" showLastColumn="1"/>
  <filters count="1">
    <filter fld="1" type="dateBetween" evalOrder="-1" id="163" name="Date">
      <autoFilter ref="A1">
        <filterColumn colId="0">
          <customFilters and="1">
            <customFilter operator="greaterThanOrEqual" val="45474"/>
            <customFilter operator="lessThanOrEqual" val="4559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InsertBlankRowDefault="1"/>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EE69B52-D4A3-4EB4-9360-7FC217E0012A}" name="PTExpbyCategory" cacheId="2" applyNumberFormats="0" applyBorderFormats="0" applyFontFormats="0" applyPatternFormats="0" applyAlignmentFormats="0" applyWidthHeightFormats="1" dataCaption="Values" updatedVersion="8" minRefreshableVersion="5" showDrill="0" colGrandTotals="0" itemPrintTitles="1" createdVersion="8" indent="0" outline="1" outlineData="1" multipleFieldFilters="0" chartFormat="12" rowHeaderCaption="Row Labels" fieldListSortAscending="1">
  <location ref="C6:E18" firstHeaderRow="0" firstDataRow="1" firstDataCol="1"/>
  <pivotFields count="11">
    <pivotField subtotalTop="0" showAll="0" insertBlankRow="1"/>
    <pivotField subtotalTop="0" showAll="0" insertBlankRow="1">
      <items count="835">
        <item m="1" x="557"/>
        <item m="1" x="556"/>
        <item m="1" x="558"/>
        <item m="1" x="559"/>
        <item m="1" x="560"/>
        <item m="1" x="561"/>
        <item m="1" x="562"/>
        <item m="1" x="563"/>
        <item m="1" x="564"/>
        <item m="1" x="565"/>
        <item m="1" x="566"/>
        <item m="1" x="567"/>
        <item m="1" x="581"/>
        <item m="1" x="568"/>
        <item m="1" x="569"/>
        <item m="1" x="570"/>
        <item m="1" x="571"/>
        <item m="1" x="572"/>
        <item m="1" x="579"/>
        <item m="1" x="580"/>
        <item m="1" x="573"/>
        <item m="1" x="574"/>
        <item m="1" x="575"/>
        <item m="1" x="576"/>
        <item m="1" x="577"/>
        <item m="1" x="578"/>
        <item m="1" x="582"/>
        <item m="1" x="583"/>
        <item m="1" x="584"/>
        <item m="1" x="585"/>
        <item m="1" x="586"/>
        <item m="1" x="587"/>
        <item m="1" x="588"/>
        <item m="1" x="589"/>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619"/>
        <item m="1" x="620"/>
        <item m="1" x="621"/>
        <item m="1" x="622"/>
        <item m="1" x="623"/>
        <item m="1" x="624"/>
        <item m="1" x="625"/>
        <item m="1" x="626"/>
        <item m="1" x="627"/>
        <item m="1" x="628"/>
        <item m="1" x="629"/>
        <item m="1" x="630"/>
        <item m="1" x="631"/>
        <item m="1" x="632"/>
        <item m="1" x="633"/>
        <item m="1" x="634"/>
        <item m="1" x="635"/>
        <item m="1" x="636"/>
        <item m="1" x="637"/>
        <item m="1" x="638"/>
        <item m="1" x="639"/>
        <item m="1" x="640"/>
        <item m="1" x="641"/>
        <item m="1" x="642"/>
        <item m="1" x="643"/>
        <item m="1" x="644"/>
        <item m="1" x="645"/>
        <item m="1" x="646"/>
        <item m="1" x="647"/>
        <item m="1" x="648"/>
        <item m="1" x="649"/>
        <item m="1" x="650"/>
        <item m="1" x="651"/>
        <item m="1" x="652"/>
        <item m="1" x="653"/>
        <item m="1" x="654"/>
        <item m="1" x="655"/>
        <item m="1" x="656"/>
        <item m="1" x="657"/>
        <item m="1" x="658"/>
        <item m="1" x="659"/>
        <item m="1" x="660"/>
        <item m="1" x="661"/>
        <item m="1" x="662"/>
        <item m="1" x="663"/>
        <item m="1" x="664"/>
        <item m="1" x="665"/>
        <item m="1" x="829"/>
        <item m="1" x="666"/>
        <item m="1" x="667"/>
        <item m="1" x="668"/>
        <item m="1" x="669"/>
        <item m="1" x="670"/>
        <item m="1" x="671"/>
        <item m="1" x="672"/>
        <item m="1" x="673"/>
        <item m="1" x="674"/>
        <item m="1" x="675"/>
        <item m="1" x="676"/>
        <item m="1" x="677"/>
        <item m="1" x="678"/>
        <item m="1" x="679"/>
        <item m="1" x="680"/>
        <item m="1" x="681"/>
        <item m="1" x="682"/>
        <item m="1" x="683"/>
        <item m="1" x="684"/>
        <item m="1" x="685"/>
        <item m="1" x="686"/>
        <item m="1" x="687"/>
        <item m="1" x="688"/>
        <item m="1" x="689"/>
        <item m="1" x="690"/>
        <item m="1" x="691"/>
        <item m="1" x="693"/>
        <item m="1" x="692"/>
        <item m="1" x="694"/>
        <item m="1" x="695"/>
        <item m="1" x="696"/>
        <item m="1" x="697"/>
        <item m="1" x="698"/>
        <item m="1" x="699"/>
        <item m="1" x="700"/>
        <item m="1" x="701"/>
        <item m="1" x="702"/>
        <item m="1" x="703"/>
        <item m="1" x="704"/>
        <item m="1" x="705"/>
        <item m="1" x="706"/>
        <item m="1" x="707"/>
        <item m="1" x="708"/>
        <item m="1" x="709"/>
        <item m="1" x="710"/>
        <item m="1" x="711"/>
        <item m="1" x="712"/>
        <item m="1" x="713"/>
        <item m="1" x="714"/>
        <item m="1" x="715"/>
        <item m="1" x="716"/>
        <item m="1" x="717"/>
        <item m="1" x="718"/>
        <item m="1" x="719"/>
        <item m="1" x="720"/>
        <item m="1" x="721"/>
        <item m="1" x="722"/>
        <item m="1" x="723"/>
        <item m="1" x="724"/>
        <item m="1" x="725"/>
        <item m="1" x="726"/>
        <item m="1" x="727"/>
        <item m="1" x="728"/>
        <item m="1" x="729"/>
        <item m="1" x="730"/>
        <item m="1" x="731"/>
        <item m="1" x="732"/>
        <item m="1" x="733"/>
        <item m="1" x="734"/>
        <item m="1" x="735"/>
        <item m="1" x="736"/>
        <item m="1" x="737"/>
        <item m="1" x="738"/>
        <item m="1" x="739"/>
        <item m="1" x="740"/>
        <item m="1" x="741"/>
        <item m="1" x="742"/>
        <item m="1" x="743"/>
        <item m="1" x="744"/>
        <item m="1" x="745"/>
        <item m="1" x="746"/>
        <item m="1" x="747"/>
        <item m="1" x="748"/>
        <item m="1" x="830"/>
        <item m="1" x="749"/>
        <item m="1" x="750"/>
        <item m="1" x="751"/>
        <item m="1" x="752"/>
        <item m="1" x="753"/>
        <item m="1" x="754"/>
        <item m="1" x="755"/>
        <item m="1" x="756"/>
        <item m="1" x="757"/>
        <item m="1" x="758"/>
        <item m="1" x="759"/>
        <item m="1" x="760"/>
        <item m="1" x="761"/>
        <item m="1" x="762"/>
        <item m="1" x="763"/>
        <item m="1" x="764"/>
        <item m="1" x="765"/>
        <item m="1" x="766"/>
        <item m="1" x="767"/>
        <item m="1" x="768"/>
        <item m="1" x="769"/>
        <item m="1" x="770"/>
        <item m="1" x="771"/>
        <item m="1" x="772"/>
        <item m="1" x="773"/>
        <item m="1" x="774"/>
        <item m="1" x="775"/>
        <item m="1" x="831"/>
        <item m="1" x="776"/>
        <item m="1" x="777"/>
        <item m="1" x="778"/>
        <item m="1" x="779"/>
        <item m="1" x="780"/>
        <item m="1" x="781"/>
        <item m="1" x="782"/>
        <item m="1" x="783"/>
        <item m="1" x="784"/>
        <item m="1" x="785"/>
        <item m="1" x="786"/>
        <item m="1" x="787"/>
        <item m="1" x="788"/>
        <item m="1" x="789"/>
        <item m="1" x="790"/>
        <item m="1" x="791"/>
        <item m="1" x="792"/>
        <item m="1" x="793"/>
        <item m="1" x="794"/>
        <item m="1" x="795"/>
        <item m="1" x="796"/>
        <item m="1" x="797"/>
        <item m="1" x="798"/>
        <item m="1" x="799"/>
        <item m="1" x="800"/>
        <item m="1" x="801"/>
        <item m="1" x="802"/>
        <item m="1" x="803"/>
        <item m="1" x="804"/>
        <item m="1" x="805"/>
        <item m="1" x="806"/>
        <item m="1" x="807"/>
        <item m="1" x="808"/>
        <item m="1" x="809"/>
        <item m="1" x="810"/>
        <item m="1" x="811"/>
        <item m="1" x="812"/>
        <item m="1" x="813"/>
        <item m="1" x="814"/>
        <item m="1" x="815"/>
        <item m="1" x="816"/>
        <item m="1" x="817"/>
        <item m="1" x="818"/>
        <item m="1" x="819"/>
        <item m="1" x="820"/>
        <item m="1" x="821"/>
        <item m="1" x="822"/>
        <item m="1" x="823"/>
        <item m="1" x="824"/>
        <item m="1" x="825"/>
        <item m="1" x="826"/>
        <item m="1" x="827"/>
        <item m="1" x="828"/>
        <item m="1" x="832"/>
        <item m="1" x="833"/>
        <item m="1" x="279"/>
        <item m="1" x="278"/>
        <item m="1" x="280"/>
        <item m="1" x="281"/>
        <item m="1" x="282"/>
        <item m="1" x="283"/>
        <item m="1" x="284"/>
        <item m="1" x="285"/>
        <item m="1" x="286"/>
        <item m="1" x="287"/>
        <item m="1" x="288"/>
        <item m="1" x="289"/>
        <item m="1" x="303"/>
        <item m="1" x="290"/>
        <item m="1" x="291"/>
        <item m="1" x="292"/>
        <item m="1" x="293"/>
        <item m="1" x="294"/>
        <item m="1" x="301"/>
        <item m="1" x="302"/>
        <item m="1" x="295"/>
        <item m="1" x="296"/>
        <item m="1" x="297"/>
        <item m="1" x="298"/>
        <item m="1" x="299"/>
        <item m="1" x="300"/>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m="1" x="375"/>
        <item m="1" x="376"/>
        <item m="1" x="377"/>
        <item m="1" x="378"/>
        <item m="1" x="379"/>
        <item m="1" x="380"/>
        <item m="1" x="381"/>
        <item m="1" x="382"/>
        <item m="1" x="383"/>
        <item m="1" x="384"/>
        <item m="1" x="385"/>
        <item m="1" x="386"/>
        <item m="1" x="387"/>
        <item m="1" x="551"/>
        <item m="1" x="388"/>
        <item m="1" x="389"/>
        <item m="1" x="390"/>
        <item m="1" x="391"/>
        <item m="1" x="392"/>
        <item m="1" x="393"/>
        <item m="1" x="394"/>
        <item m="1" x="395"/>
        <item m="1" x="396"/>
        <item m="1" x="397"/>
        <item m="1" x="398"/>
        <item m="1" x="399"/>
        <item m="1" x="400"/>
        <item m="1" x="401"/>
        <item m="1" x="402"/>
        <item m="1" x="403"/>
        <item m="1" x="404"/>
        <item m="1" x="405"/>
        <item m="1" x="406"/>
        <item m="1" x="407"/>
        <item m="1" x="408"/>
        <item m="1" x="409"/>
        <item m="1" x="410"/>
        <item m="1" x="411"/>
        <item m="1" x="412"/>
        <item m="1" x="413"/>
        <item m="1" x="415"/>
        <item m="1" x="414"/>
        <item m="1" x="416"/>
        <item m="1" x="417"/>
        <item m="1" x="418"/>
        <item m="1" x="419"/>
        <item m="1" x="420"/>
        <item m="1" x="421"/>
        <item m="1" x="422"/>
        <item m="1" x="423"/>
        <item m="1" x="424"/>
        <item m="1" x="425"/>
        <item m="1" x="426"/>
        <item m="1" x="427"/>
        <item m="1" x="428"/>
        <item m="1" x="429"/>
        <item m="1" x="430"/>
        <item m="1" x="431"/>
        <item m="1" x="432"/>
        <item m="1" x="433"/>
        <item m="1" x="434"/>
        <item m="1" x="435"/>
        <item m="1" x="436"/>
        <item m="1" x="437"/>
        <item m="1" x="438"/>
        <item m="1" x="439"/>
        <item m="1" x="440"/>
        <item m="1" x="441"/>
        <item m="1" x="442"/>
        <item m="1" x="443"/>
        <item m="1" x="444"/>
        <item m="1" x="445"/>
        <item m="1" x="446"/>
        <item m="1" x="447"/>
        <item m="1" x="448"/>
        <item m="1" x="449"/>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552"/>
        <item m="1" x="471"/>
        <item m="1" x="472"/>
        <item m="1" x="473"/>
        <item m="1" x="474"/>
        <item m="1" x="475"/>
        <item m="1" x="476"/>
        <item m="1" x="477"/>
        <item m="1" x="478"/>
        <item m="1" x="479"/>
        <item m="1" x="480"/>
        <item m="1" x="481"/>
        <item m="1" x="482"/>
        <item m="1" x="483"/>
        <item m="1" x="484"/>
        <item m="1" x="485"/>
        <item m="1" x="486"/>
        <item m="1" x="487"/>
        <item m="1" x="488"/>
        <item m="1" x="489"/>
        <item m="1" x="490"/>
        <item m="1" x="491"/>
        <item m="1" x="492"/>
        <item m="1" x="493"/>
        <item m="1" x="494"/>
        <item m="1" x="495"/>
        <item m="1" x="496"/>
        <item m="1" x="497"/>
        <item m="1" x="553"/>
        <item m="1" x="498"/>
        <item m="1" x="499"/>
        <item m="1" x="500"/>
        <item m="1" x="501"/>
        <item m="1" x="502"/>
        <item m="1" x="503"/>
        <item m="1" x="504"/>
        <item m="1" x="505"/>
        <item m="1" x="506"/>
        <item m="1" x="507"/>
        <item m="1" x="508"/>
        <item m="1" x="509"/>
        <item m="1" x="510"/>
        <item m="1" x="511"/>
        <item m="1" x="512"/>
        <item m="1" x="513"/>
        <item m="1" x="514"/>
        <item m="1" x="515"/>
        <item m="1" x="516"/>
        <item m="1" x="517"/>
        <item m="1" x="518"/>
        <item m="1" x="519"/>
        <item m="1" x="520"/>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m="1" x="543"/>
        <item m="1" x="544"/>
        <item m="1" x="545"/>
        <item m="1" x="546"/>
        <item m="1" x="547"/>
        <item m="1" x="548"/>
        <item m="1" x="549"/>
        <item m="1" x="550"/>
        <item m="1" x="554"/>
        <item m="1" x="555"/>
        <item x="1"/>
        <item x="0"/>
        <item x="2"/>
        <item x="3"/>
        <item x="4"/>
        <item x="5"/>
        <item x="6"/>
        <item x="7"/>
        <item x="8"/>
        <item x="9"/>
        <item x="10"/>
        <item x="11"/>
        <item x="25"/>
        <item x="12"/>
        <item x="13"/>
        <item x="14"/>
        <item x="15"/>
        <item x="16"/>
        <item x="23"/>
        <item x="24"/>
        <item x="17"/>
        <item x="18"/>
        <item x="19"/>
        <item x="20"/>
        <item x="21"/>
        <item x="22"/>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273"/>
        <item x="110"/>
        <item x="111"/>
        <item x="112"/>
        <item x="113"/>
        <item x="114"/>
        <item x="115"/>
        <item x="116"/>
        <item x="117"/>
        <item x="118"/>
        <item x="119"/>
        <item x="120"/>
        <item x="121"/>
        <item x="122"/>
        <item x="123"/>
        <item x="124"/>
        <item x="125"/>
        <item x="126"/>
        <item x="127"/>
        <item x="128"/>
        <item x="129"/>
        <item x="130"/>
        <item x="131"/>
        <item x="132"/>
        <item x="133"/>
        <item x="134"/>
        <item x="135"/>
        <item x="137"/>
        <item x="136"/>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274"/>
        <item x="193"/>
        <item x="194"/>
        <item x="195"/>
        <item x="196"/>
        <item x="197"/>
        <item x="198"/>
        <item x="199"/>
        <item x="200"/>
        <item x="201"/>
        <item x="202"/>
        <item x="203"/>
        <item x="204"/>
        <item x="205"/>
        <item x="206"/>
        <item x="207"/>
        <item x="208"/>
        <item x="209"/>
        <item x="210"/>
        <item x="211"/>
        <item x="212"/>
        <item x="213"/>
        <item x="214"/>
        <item x="215"/>
        <item x="216"/>
        <item x="217"/>
        <item x="218"/>
        <item x="219"/>
        <item x="275"/>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6"/>
        <item x="277"/>
        <item t="default"/>
      </items>
    </pivotField>
    <pivotField subtotalTop="0" showAll="0" insertBlankRow="1"/>
    <pivotField subtotalTop="0" showAll="0" insertBlankRow="1"/>
    <pivotField dataField="1" subtotalTop="0" showAll="0" insertBlankRow="1"/>
    <pivotField dataField="1" subtotalTop="0" showAll="0" insertBlankRow="1"/>
    <pivotField axis="axisRow" subtotalTop="0" showAll="0" insertBlankRow="1" sortType="descending">
      <items count="13">
        <item x="2"/>
        <item x="4"/>
        <item x="0"/>
        <item x="6"/>
        <item x="1"/>
        <item x="5"/>
        <item x="7"/>
        <item x="8"/>
        <item x="3"/>
        <item x="9"/>
        <item x="10"/>
        <item x="11"/>
        <item t="default"/>
      </items>
      <autoSortScope>
        <pivotArea dataOnly="0" outline="0" fieldPosition="0">
          <references count="1">
            <reference field="4294967294" count="1" selected="0">
              <x v="0"/>
            </reference>
          </references>
        </pivotArea>
      </autoSortScope>
    </pivotField>
    <pivotField subtotalTop="0" showAll="0" insertBlankRow="1">
      <items count="5">
        <item h="1" sd="0" x="0"/>
        <item x="1"/>
        <item h="1" sd="0" f="1" x="3"/>
        <item h="1" x="2"/>
        <item t="default"/>
      </items>
    </pivotField>
    <pivotField subtotalTop="0" showAll="0" insertBlankRow="1"/>
    <pivotField subtotalTop="0" showAll="0" insertBlankRow="1"/>
    <pivotField subtotalTop="0" dragToRow="0" dragToCol="0" dragToPage="0" showAll="0" insertBlankRow="1" defaultSubtotal="0"/>
  </pivotFields>
  <rowFields count="1">
    <field x="6"/>
  </rowFields>
  <rowItems count="12">
    <i>
      <x v="10"/>
    </i>
    <i>
      <x v="4"/>
    </i>
    <i>
      <x v="9"/>
    </i>
    <i>
      <x v="2"/>
    </i>
    <i>
      <x v="11"/>
    </i>
    <i>
      <x v="6"/>
    </i>
    <i>
      <x v="7"/>
    </i>
    <i>
      <x/>
    </i>
    <i>
      <x v="5"/>
    </i>
    <i>
      <x v="1"/>
    </i>
    <i>
      <x v="3"/>
    </i>
    <i t="grand">
      <x/>
    </i>
  </rowItems>
  <colFields count="1">
    <field x="-2"/>
  </colFields>
  <colItems count="2">
    <i>
      <x/>
    </i>
    <i i="1">
      <x v="1"/>
    </i>
  </colItems>
  <dataFields count="2">
    <dataField name="Actual " fld="4" baseField="0" baseItem="0" numFmtId="167"/>
    <dataField name="Budget " fld="5" baseField="0" baseItem="0" numFmtId="167"/>
  </dataFields>
  <formats count="3">
    <format dxfId="25">
      <pivotArea dataOnly="0" labelOnly="1" outline="0" fieldPosition="0">
        <references count="1">
          <reference field="4294967294" count="2">
            <x v="0"/>
            <x v="1"/>
          </reference>
        </references>
      </pivotArea>
    </format>
    <format dxfId="24">
      <pivotArea outline="0" fieldPosition="0">
        <references count="1">
          <reference field="4294967294" count="1">
            <x v="0"/>
          </reference>
        </references>
      </pivotArea>
    </format>
    <format dxfId="23">
      <pivotArea outline="0" fieldPosition="0">
        <references count="1">
          <reference field="4294967294" count="1">
            <x v="1"/>
          </reference>
        </references>
      </pivotArea>
    </format>
  </formats>
  <chartFormats count="2">
    <chartFormat chart="8" format="4" series="1">
      <pivotArea type="data" outline="0" fieldPosition="0">
        <references count="1">
          <reference field="4294967294" count="1" selected="0">
            <x v="0"/>
          </reference>
        </references>
      </pivotArea>
    </chartFormat>
    <chartFormat chart="8" format="5" series="1">
      <pivotArea type="data" outline="0" fieldPosition="0">
        <references count="1">
          <reference field="4294967294" count="1" selected="0">
            <x v="1"/>
          </reference>
        </references>
      </pivotArea>
    </chartFormat>
  </chartFormats>
  <pivotTableStyleInfo name="PivotStyleLight15" showRowHeaders="1" showColHeaders="1" showRowStripes="0" showColStripes="0" showLastColumn="1"/>
  <filters count="1">
    <filter fld="1" type="dateBetween" evalOrder="-1" id="345" name="Date">
      <autoFilter ref="A1">
        <filterColumn colId="0">
          <customFilters and="1">
            <customFilter operator="greaterThanOrEqual" val="46023"/>
            <customFilter operator="lessThanOrEqual" val="4638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InsertBlankRowDefault="1"/>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EA58251-E903-47FA-B6C4-5B8489827AE3}" name="PTIncomeActBud" cacheId="2" applyNumberFormats="0" applyBorderFormats="0" applyFontFormats="0" applyPatternFormats="0" applyAlignmentFormats="0" applyWidthHeightFormats="1" dataCaption="Values" updatedVersion="8" minRefreshableVersion="5" showDrill="0" rowGrandTotals="0" colGrandTotals="0" itemPrintTitles="1" createdVersion="8" indent="0" outline="1" outlineData="1" multipleFieldFilters="0" chartFormat="41" rowHeaderCaption="Row Labels" fieldListSortAscending="1">
  <location ref="N6:P21" firstHeaderRow="0" firstDataRow="1" firstDataCol="1"/>
  <pivotFields count="11">
    <pivotField subtotalTop="0" showAll="0" insertBlankRow="1"/>
    <pivotField subtotalTop="0" showAll="0" insertBlankRow="1"/>
    <pivotField subtotalTop="0" showAll="0" insertBlankRow="1"/>
    <pivotField subtotalTop="0" showAll="0" insertBlankRow="1"/>
    <pivotField dataField="1" subtotalTop="0" showAll="0" insertBlankRow="1"/>
    <pivotField dataField="1" subtotalTop="0" showAll="0" insertBlankRow="1"/>
    <pivotField subtotalTop="0" showAll="0" insertBlankRow="1" sortType="ascending">
      <autoSortScope>
        <pivotArea dataOnly="0" outline="0" fieldPosition="0">
          <references count="1">
            <reference field="4294967294" count="1" selected="0">
              <x v="0"/>
            </reference>
          </references>
        </pivotArea>
      </autoSortScope>
    </pivotField>
    <pivotField subtotalTop="0" showAll="0" insertBlankRow="1">
      <items count="5">
        <item sd="0" x="0"/>
        <item h="1" x="1"/>
        <item h="1" sd="0" f="1" x="3"/>
        <item h="1" x="2"/>
        <item t="default"/>
      </items>
    </pivotField>
    <pivotField axis="axisRow" subtotalTop="0" showAll="0" insertBlankRow="1">
      <items count="4">
        <item n="2025" m="1" x="2"/>
        <item x="0"/>
        <item m="1" x="1"/>
        <item t="default"/>
      </items>
    </pivotField>
    <pivotField axis="axisRow" subtotalTop="0" showAll="0" insertBlankRow="1">
      <items count="13">
        <item x="0"/>
        <item x="1"/>
        <item x="2"/>
        <item x="3"/>
        <item x="4"/>
        <item x="5"/>
        <item x="6"/>
        <item x="7"/>
        <item x="8"/>
        <item x="9"/>
        <item x="10"/>
        <item x="11"/>
        <item t="default"/>
      </items>
    </pivotField>
    <pivotField subtotalTop="0" dragToRow="0" dragToCol="0" dragToPage="0" showAll="0" insertBlankRow="1" defaultSubtotal="0"/>
  </pivotFields>
  <rowFields count="2">
    <field x="8"/>
    <field x="9"/>
  </rowFields>
  <rowItems count="15">
    <i>
      <x v="1"/>
    </i>
    <i r="1">
      <x/>
    </i>
    <i r="1">
      <x v="1"/>
    </i>
    <i r="1">
      <x v="2"/>
    </i>
    <i r="1">
      <x v="3"/>
    </i>
    <i r="1">
      <x v="4"/>
    </i>
    <i r="1">
      <x v="5"/>
    </i>
    <i r="1">
      <x v="6"/>
    </i>
    <i r="1">
      <x v="7"/>
    </i>
    <i r="1">
      <x v="8"/>
    </i>
    <i r="1">
      <x v="9"/>
    </i>
    <i r="1">
      <x v="10"/>
    </i>
    <i r="1">
      <x v="11"/>
    </i>
    <i t="default">
      <x v="1"/>
    </i>
    <i t="blank">
      <x v="1"/>
    </i>
  </rowItems>
  <colFields count="1">
    <field x="-2"/>
  </colFields>
  <colItems count="2">
    <i>
      <x/>
    </i>
    <i i="1">
      <x v="1"/>
    </i>
  </colItems>
  <dataFields count="2">
    <dataField name="Actual " fld="4" baseField="0" baseItem="0" numFmtId="167"/>
    <dataField name="Budget " fld="5" baseField="0" baseItem="0" numFmtId="167"/>
  </dataFields>
  <formats count="3">
    <format dxfId="28">
      <pivotArea dataOnly="0" labelOnly="1" outline="0" fieldPosition="0">
        <references count="1">
          <reference field="4294967294" count="2">
            <x v="0"/>
            <x v="1"/>
          </reference>
        </references>
      </pivotArea>
    </format>
    <format dxfId="27">
      <pivotArea outline="0" fieldPosition="0">
        <references count="1">
          <reference field="4294967294" count="1">
            <x v="0"/>
          </reference>
        </references>
      </pivotArea>
    </format>
    <format dxfId="26">
      <pivotArea outline="0" fieldPosition="0">
        <references count="1">
          <reference field="4294967294" count="1">
            <x v="1"/>
          </reference>
        </references>
      </pivotArea>
    </format>
  </formats>
  <chartFormats count="10">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8" format="4" series="1">
      <pivotArea type="data" outline="0" fieldPosition="0">
        <references count="1">
          <reference field="4294967294" count="1" selected="0">
            <x v="0"/>
          </reference>
        </references>
      </pivotArea>
    </chartFormat>
    <chartFormat chart="8" format="5" series="1">
      <pivotArea type="data" outline="0" fieldPosition="0">
        <references count="1">
          <reference field="4294967294" count="1" selected="0">
            <x v="1"/>
          </reference>
        </references>
      </pivotArea>
    </chartFormat>
    <chartFormat chart="10" format="0" series="1">
      <pivotArea type="data" outline="0" fieldPosition="0">
        <references count="1">
          <reference field="4294967294" count="1" selected="0">
            <x v="0"/>
          </reference>
        </references>
      </pivotArea>
    </chartFormat>
    <chartFormat chart="10" format="1" series="1">
      <pivotArea type="data" outline="0" fieldPosition="0">
        <references count="1">
          <reference field="4294967294" count="1" selected="0">
            <x v="1"/>
          </reference>
        </references>
      </pivotArea>
    </chartFormat>
    <chartFormat chart="14" format="4" series="1">
      <pivotArea type="data" outline="0" fieldPosition="0">
        <references count="1">
          <reference field="4294967294" count="1" selected="0">
            <x v="0"/>
          </reference>
        </references>
      </pivotArea>
    </chartFormat>
    <chartFormat chart="14" format="5" series="1">
      <pivotArea type="data" outline="0" fieldPosition="0">
        <references count="1">
          <reference field="4294967294" count="1" selected="0">
            <x v="1"/>
          </reference>
        </references>
      </pivotArea>
    </chartFormat>
    <chartFormat chart="20" format="4" series="1">
      <pivotArea type="data" outline="0" fieldPosition="0">
        <references count="1">
          <reference field="4294967294" count="1" selected="0">
            <x v="0"/>
          </reference>
        </references>
      </pivotArea>
    </chartFormat>
    <chartFormat chart="20" format="5" series="1">
      <pivotArea type="data" outline="0" fieldPosition="0">
        <references count="1">
          <reference field="4294967294" count="1" selected="0">
            <x v="1"/>
          </reference>
        </references>
      </pivotArea>
    </chartFormat>
  </chartFormats>
  <pivotTableStyleInfo name="PivotStyleMedium8" showRowHeaders="1" showColHeaders="1" showRowStripes="0" showColStripes="0" showLastColumn="1"/>
  <filters count="1">
    <filter fld="1" type="dateBetween" evalOrder="-1" id="163" name="Date">
      <autoFilter ref="A1">
        <filterColumn colId="0">
          <customFilters and="1">
            <customFilter operator="greaterThanOrEqual" val="45474"/>
            <customFilter operator="lessThanOrEqual" val="45596"/>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SubtotalsOnTopDefault="0" InsertBlankRowDefault="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ccount" xr10:uid="{2C3E8C54-D1E2-4E42-BFF1-3E15DBCD64C1}" sourceName="Account">
  <pivotTables>
    <pivotTable tabId="2" name="ptSavingsMonthly"/>
    <pivotTable tabId="2" name="ptSavingsTotal"/>
  </pivotTables>
  <data>
    <tabular pivotCacheId="2062892">
      <items count="6">
        <i x="2" s="1"/>
        <i x="0" s="1"/>
        <i x="1" s="1"/>
        <i x="3" s="1" nd="1"/>
        <i x="4" s="1" nd="1"/>
        <i x="5"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_Type" xr10:uid="{D9E72F27-8AFF-46C2-B91D-DDAA94E6EBBF}" sourceName="Category Type">
  <pivotTables>
    <pivotTable tabId="9" name="PTExpbyCategory"/>
    <pivotTable tabId="9" name="PTExpActBud"/>
  </pivotTables>
  <data>
    <tabular pivotCacheId="1456332119">
      <items count="4">
        <i x="1" s="1"/>
        <i x="0"/>
        <i x="3"/>
        <i x="2"/>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_Type1" xr10:uid="{CF7D0126-725A-47E7-9854-62DB4A02CCCF}" sourceName="Category Type">
  <pivotTables>
    <pivotTable tabId="9" name="PTIncomeActBud"/>
    <pivotTable tabId="9" name="PTIncomeDoughnut"/>
  </pivotTables>
  <data>
    <tabular pivotCacheId="1456332119">
      <items count="4">
        <i x="1"/>
        <i x="0" s="1"/>
        <i x="3"/>
        <i x="2"/>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ccount1" xr10:uid="{81FE9DFC-5472-46D8-BF7C-2AD8042A2AD9}" sourceName="Account">
  <extLst>
    <x:ext xmlns:x15="http://schemas.microsoft.com/office/spreadsheetml/2010/11/main" uri="{2F2917AC-EB37-4324-AD4E-5DD8C200BD13}">
      <x15:tableSlicerCache tableId="4"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ub_category" xr10:uid="{3867BD2B-BB3E-4154-805D-67677F1BFBC9}" sourceName="Sub-category">
  <extLst>
    <x:ext xmlns:x15="http://schemas.microsoft.com/office/spreadsheetml/2010/11/main" uri="{2F2917AC-EB37-4324-AD4E-5DD8C200BD13}">
      <x15:tableSlicerCache tableId="4"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ccount 1" xr10:uid="{65799AFF-0B57-46E5-82AF-B4E5A757AD20}" cache="Slicer_Account1" caption="Account" style="SlicerStyleDark3" rowHeight="257175"/>
  <slicer name="Sub-category" xr10:uid="{6FFDE8C6-53D4-4F1B-9F5E-A19BE9522DF7}" cache="Slicer_Sub_category" caption="Sub-category" columnCount="4" style="SlicerStyleDark3"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ccount" xr10:uid="{5FC22DC0-6FD8-4A21-BD76-39BBA2BD74F2}" cache="Slicer_Account" caption="Account" style="SlicerStyleLight4" rowHeight="2340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egory Type" xr10:uid="{E96EAF53-6891-4DA8-B620-DF0314595E0B}" cache="Slicer_Category_Type" caption="Category Type" style="SlicerStyleOther1" rowHeight="257175"/>
  <slicer name="Category Type 1" xr10:uid="{E4C2FBAC-0A1D-4158-B1B8-2CC570400836}" cache="Slicer_Category_Type1" caption="Category Type" style="SlicerStyleOther1"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A633F92-F5DD-43B3-89C4-E5E610612B9A}" name="Table6" displayName="Table6" ref="B3:D11" totalsRowShown="0">
  <autoFilter ref="B3:D11" xr:uid="{B92B2004-FD50-414C-89B1-F62DFF5DA6E2}"/>
  <sortState xmlns:xlrd2="http://schemas.microsoft.com/office/spreadsheetml/2017/richdata2" ref="B4:D11">
    <sortCondition ref="B4:B11"/>
  </sortState>
  <tableColumns count="3">
    <tableColumn id="1" xr3:uid="{1A3EE331-ED40-4D20-AB9D-DFC2E1439852}" name="Source"/>
    <tableColumn id="2" xr3:uid="{26986BE9-1874-4EDE-A4D9-F1EC9C12BC60}" name="Type"/>
    <tableColumn id="3" xr3:uid="{50D731D2-8850-4762-A72E-BDBCEEEDD261}" name="GROSS Amount"/>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44E3D5-0DA9-4084-95E0-21C1BF77B234}" name="Table68" displayName="Table68" ref="I3:K11" totalsRowShown="0">
  <autoFilter ref="I3:K11" xr:uid="{D04820EE-B15A-4741-B9D6-00DB65BB9D9E}"/>
  <sortState xmlns:xlrd2="http://schemas.microsoft.com/office/spreadsheetml/2017/richdata2" ref="I4:K11">
    <sortCondition ref="I4:I11"/>
  </sortState>
  <tableColumns count="3">
    <tableColumn id="1" xr3:uid="{77A08DDA-2BC1-4B1C-9C73-2BC793FBF1BD}" name="Source"/>
    <tableColumn id="2" xr3:uid="{A40CB27C-15A5-4C39-B0A4-A44F7DEB937E}" name="Type"/>
    <tableColumn id="3" xr3:uid="{28B08CFE-611B-41FC-B04D-6DD76E7F8A9D}" name="NET Amount"/>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51BD41-1E8D-41ED-B61F-E7C38B402B9B}" name="TblDebts" displayName="TblDebts" ref="B3:H9" totalsRowShown="0" headerRowDxfId="70" headerRowBorderDxfId="69">
  <tableColumns count="7">
    <tableColumn id="1" xr3:uid="{013619F6-8E6D-464F-96C6-07FAD82B08B6}" name="Debt"/>
    <tableColumn id="3" xr3:uid="{097629E1-F6D9-4058-803A-2F098D5E96D7}" name="Original Loan Amount" dataDxfId="68"/>
    <tableColumn id="6" xr3:uid="{3330E4B6-50B7-4A6F-9C17-5F28B7368898}" name="Interest Rate" dataDxfId="67"/>
    <tableColumn id="9" xr3:uid="{5135D87E-B997-48E8-9512-201728D5E648}" name="Amount Repaid" dataDxfId="66"/>
    <tableColumn id="7" xr3:uid="{8E819A0D-E2F2-4869-BF31-755D42F1E327}" name="Minimum Payment" dataDxfId="65"/>
    <tableColumn id="2" xr3:uid="{3BB4FD40-EDFB-43BF-9897-C1ADA4D73A21}" name="Balance Remaining" dataDxfId="64">
      <calculatedColumnFormula>C4+E4</calculatedColumnFormula>
    </tableColumn>
    <tableColumn id="4" xr3:uid="{88894F34-296D-4DDC-8A99-DACD8FC542F6}" name="% Paid Off" dataCellStyle="Percent">
      <calculatedColumnFormula>IF(C4&lt;&gt;0,E4/C4,0)</calculatedColumn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DDEB347-F0E0-4DBB-8F82-59F55F148CE6}" name="TblAssets" displayName="TblAssets" ref="B11:H13" totalsRowShown="0" headerRowDxfId="63" headerRowBorderDxfId="62" tableBorderDxfId="61" totalsRowBorderDxfId="60">
  <autoFilter ref="B11:H13" xr:uid="{ADDEB347-F0E0-4DBB-8F82-59F55F148CE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176FAC4-F3D5-41A6-BEA2-1A7BFF7F35B5}" name="Debt on Assets"/>
    <tableColumn id="2" xr3:uid="{9EE1B52F-FCEC-42BF-95AA-C02FA6A4D87D}" name="Asset Value"/>
    <tableColumn id="3" xr3:uid="{04B81F86-F928-4B37-B4EC-4D9574C08921}" name="Original Loan Amount"/>
    <tableColumn id="4" xr3:uid="{B80F4944-D8ED-4526-8E3C-CE6FA12DD08A}" name="LTV">
      <calculatedColumnFormula>SUM(D12/C12)</calculatedColumnFormula>
    </tableColumn>
    <tableColumn id="5" xr3:uid="{F8C4F485-2210-4D4C-B504-C6169E8A21F2}" name="Interest Rate" dataDxfId="59"/>
    <tableColumn id="6" xr3:uid="{669257FF-E8C6-48C1-A883-C9CEA256F4D2}" name="Monthly Payment" dataDxfId="58"/>
    <tableColumn id="11" xr3:uid="{EFA4DC61-F2B4-4C85-8180-7C27F6A262AB}" name="Balance Remaining" dataDxfId="57">
      <calculatedColumnFormula>'🏡 Mortgage Calc'!C26</calculatedColumnFormula>
    </tableColumn>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9ECA433-1873-49D5-87A6-A70D88CDE213}" name="TblCategories" displayName="TblCategories" ref="B3:D48" totalsRowShown="0" headerRowDxfId="56" headerRowBorderDxfId="55">
  <autoFilter ref="B3:D48" xr:uid="{0A51BD41-1E8D-41ED-B61F-E7C38B402B9B}"/>
  <tableColumns count="3">
    <tableColumn id="1" xr3:uid="{0451A754-4615-4B19-B1CC-785E74AF88A6}" name="Sub-category"/>
    <tableColumn id="2" xr3:uid="{8A0EE971-885C-4BE7-86DD-E4EF4A3B2C97}" name="Category"/>
    <tableColumn id="3" xr3:uid="{EDB339BD-6B4B-47FE-AEF5-FCE259F2C234}" name="Category Type"/>
  </tableColumns>
  <tableStyleInfo name="TableStyleMedium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A8BBB9D-C2D0-40EC-9AB3-FE88C7785E12}" name="TblBudget" displayName="TblBudget" ref="B3:O47" totalsRowShown="0">
  <autoFilter ref="B3:O47" xr:uid="{7A8BBB9D-C2D0-40EC-9AB3-FE88C7785E12}"/>
  <tableColumns count="14">
    <tableColumn id="4" xr3:uid="{C8DAC4C4-4B99-44B1-B0DE-7A14F4027295}" name="Year"/>
    <tableColumn id="1" xr3:uid="{67B33631-9E77-4ECB-A5CC-CC9EC3F495CE}" name="Sub-category"/>
    <tableColumn id="5" xr3:uid="{C343F16E-D589-4252-BA42-D988DDEBD104}" name="Jan" dataDxfId="54">
      <calculatedColumnFormula>#REF!/12</calculatedColumnFormula>
    </tableColumn>
    <tableColumn id="6" xr3:uid="{E824D63C-1B31-4B03-B84B-319C4A673660}" name="Feb" dataDxfId="53">
      <calculatedColumnFormula>#REF!/12</calculatedColumnFormula>
    </tableColumn>
    <tableColumn id="7" xr3:uid="{FA6B0D23-261B-4D29-92E5-CEFDCC153B99}" name="Mar" dataDxfId="52">
      <calculatedColumnFormula>#REF!/12</calculatedColumnFormula>
    </tableColumn>
    <tableColumn id="8" xr3:uid="{3DCABA35-37C1-4AB6-AF88-3D9E6DE1B57F}" name="Apr" dataDxfId="51">
      <calculatedColumnFormula>#REF!/12</calculatedColumnFormula>
    </tableColumn>
    <tableColumn id="9" xr3:uid="{71184010-872E-4AAA-8C83-B48177D622E7}" name="May" dataDxfId="50">
      <calculatedColumnFormula>#REF!/12</calculatedColumnFormula>
    </tableColumn>
    <tableColumn id="10" xr3:uid="{918176C8-B652-4EE2-9FB3-E6FE07463680}" name="Jun" dataDxfId="49">
      <calculatedColumnFormula>#REF!/12</calculatedColumnFormula>
    </tableColumn>
    <tableColumn id="11" xr3:uid="{D4AD5E08-9265-44CA-B89B-E581D737860F}" name="Jul" dataDxfId="48">
      <calculatedColumnFormula>#REF!/12</calculatedColumnFormula>
    </tableColumn>
    <tableColumn id="12" xr3:uid="{3AD1B2C5-DC23-47EE-A37F-4819CD1DE9D7}" name="Aug" dataDxfId="47">
      <calculatedColumnFormula>#REF!/12</calculatedColumnFormula>
    </tableColumn>
    <tableColumn id="13" xr3:uid="{78E8E1D7-5943-48D8-89D4-B033262409A2}" name="Sep" dataDxfId="46">
      <calculatedColumnFormula>#REF!/12</calculatedColumnFormula>
    </tableColumn>
    <tableColumn id="14" xr3:uid="{45CE3E9E-9C45-438A-B5F0-E64902953E41}" name="Oct" dataDxfId="45">
      <calculatedColumnFormula>#REF!/12</calculatedColumnFormula>
    </tableColumn>
    <tableColumn id="15" xr3:uid="{877A53E1-C47E-452D-B923-05E3ABE8022D}" name="Nov" dataDxfId="44">
      <calculatedColumnFormula>#REF!/12</calculatedColumnFormula>
    </tableColumn>
    <tableColumn id="16" xr3:uid="{46AB352C-8C3E-45B8-8799-7540F965371E}" name="Dec" dataDxfId="43">
      <calculatedColumnFormula>#REF!/12</calculatedColumnFormula>
    </tableColumn>
  </tableColumns>
  <tableStyleInfo name="TableStyleMedium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680410D-4D88-4B43-8983-13B0B10B5305}" name="TblTransactions" displayName="TblTransactions" ref="B9:G507" totalsRowShown="0">
  <autoFilter ref="B9:G507" xr:uid="{FA581F2D-29E8-496F-BB39-12850C904BC0}"/>
  <tableColumns count="6">
    <tableColumn id="1" xr3:uid="{26573C60-2A44-4366-8432-C141938FE9DE}" name="Account"/>
    <tableColumn id="2" xr3:uid="{F4B45661-83C1-49F7-9732-071DCC56F70F}" name="Date" dataDxfId="42"/>
    <tableColumn id="3" xr3:uid="{1D52B0AF-28A2-49A3-AEAF-E5EC3C9F271A}" name="Description"/>
    <tableColumn id="4" xr3:uid="{EF654274-5FD6-4941-8C98-599CDABB1688}" name="Debit"/>
    <tableColumn id="5" xr3:uid="{30DF985B-F238-4CD7-90E6-98F11568179A}" name="Credit"/>
    <tableColumn id="6" xr3:uid="{59067B34-B876-4F78-8931-0F96DC8A2BF0}" name="Sub-category" dataDxfId="41"/>
  </tableColumns>
  <tableStyleInfo name="TableStyleMedium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E096C46-9DAB-4281-A0A0-19EA787FBED6}" name="TblSavings" displayName="TblSavings" ref="B27:E63" totalsRowShown="0">
  <autoFilter ref="B27:E63" xr:uid="{AE096C46-9DAB-4281-A0A0-19EA787FBED6}"/>
  <tableColumns count="4">
    <tableColumn id="2" xr3:uid="{B747D585-2441-4F45-B8BC-74CE778F2BDE}" name="Date" dataDxfId="30"/>
    <tableColumn id="1" xr3:uid="{7E64359F-5D48-425A-BCB0-E16F21CA70A8}" name="Account" dataDxfId="29"/>
    <tableColumn id="5" xr3:uid="{C0975F13-661E-4516-84D7-C73B245B1216}" name="Saved"/>
    <tableColumn id="6" xr3:uid="{0DA1C4E6-FB80-489A-A52B-1010DDFDA756}" name="Goal"/>
  </tableColumns>
  <tableStyleInfo name="TableStyleMedium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1B6FC36-1ACC-4185-8A7A-BB626039FBEB}" name="NovData" displayName="NovData" ref="A1:F47" totalsRowShown="0" headerRowDxfId="17" headerRowBorderDxfId="16">
  <autoFilter ref="A1:F47" xr:uid="{88457C23-A7E8-44FB-A359-3F6B5AD71094}"/>
  <tableColumns count="6">
    <tableColumn id="1" xr3:uid="{0AF1CAC0-82F4-4CB7-8AF6-454D2FABED8B}" name="Account"/>
    <tableColumn id="2" xr3:uid="{259D6F29-2FBD-46ED-B03B-721945D9D664}" name="Date" dataDxfId="15"/>
    <tableColumn id="3" xr3:uid="{5804CBCD-4331-412E-ADAC-07D7DAE09A5D}" name="Description"/>
    <tableColumn id="4" xr3:uid="{C97F3450-907A-40BE-AF72-2BB3DDB4EB6B}" name="Debit"/>
    <tableColumn id="5" xr3:uid="{42A4C472-4BEC-46F7-A842-CC803780B0EF}" name="Credit"/>
    <tableColumn id="7" xr3:uid="{DDE2AA37-3D9B-42A8-9176-520EC4832542}" name="Sub-category" dataDxfId="14"/>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 xr10:uid="{AF156296-FA43-4129-9883-34DBAFFA4A5F}" sourceName="Date">
  <pivotTables>
    <pivotTable tabId="2" name="ptSavingsMonthly"/>
    <pivotTable tabId="2" name="ptSavingsTotal"/>
  </pivotTables>
  <state minimalRefreshVersion="6" lastRefreshVersion="6" pivotCacheId="2062892" filterType="dateBetween">
    <selection startDate="2026-01-01T00:00:00" endDate="2026-12-31T00:00:00"/>
    <bounds startDate="2023-01-01T00:00:00" endDate="2027-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e2" xr10:uid="{F0082506-6521-4DF7-9387-02C53D0039A9}" sourceName="Date">
  <pivotTables>
    <pivotTable tabId="8" name="PTProfitLoss"/>
    <pivotTable tabId="9" name="PTIncomeDoughnut"/>
    <pivotTable tabId="9" name="PTExpbyCategory"/>
  </pivotTables>
  <state minimalRefreshVersion="6" lastRefreshVersion="6" pivotCacheId="1456332119" filterType="dateBetween">
    <selection startDate="2026-01-01T00:00:00" endDate="2026-12-31T00:00:00"/>
    <bounds startDate="2024-01-01T00:00:00" endDate="2027-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2" xr10:uid="{34771419-07CB-4463-8A15-6E849B27EF62}" cache="NativeTimeline_Date2" caption="Date" level="2" selectionLevel="0" scrollPosition="2026-04-22T00:00:00" style="TimeSlicerStyleLight6"/>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e" xr10:uid="{6CA42D2B-4B19-4B3E-9326-351C795156F1}" cache="NativeTimeline_Date" caption="Date" showHorizontalScrollbar="0" level="2" selectionLevel="0" scrollPosition="2026-01-01T00:00:00" style="TimeSlicerStyleLight4"/>
</timelines>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pivotTable" Target="../pivotTables/pivotTable7.xml"/><Relationship Id="rId7" Type="http://schemas.microsoft.com/office/2007/relationships/slicer" Target="../slicers/slicer3.xml"/><Relationship Id="rId2" Type="http://schemas.openxmlformats.org/officeDocument/2006/relationships/pivotTable" Target="../pivotTables/pivotTable6.xml"/><Relationship Id="rId1" Type="http://schemas.openxmlformats.org/officeDocument/2006/relationships/pivotTable" Target="../pivotTables/pivotTable5.xml"/><Relationship Id="rId6" Type="http://schemas.openxmlformats.org/officeDocument/2006/relationships/drawing" Target="../drawings/drawing10.xml"/><Relationship Id="rId5" Type="http://schemas.openxmlformats.org/officeDocument/2006/relationships/pivotTable" Target="../pivotTables/pivotTable9.xml"/><Relationship Id="rId4" Type="http://schemas.openxmlformats.org/officeDocument/2006/relationships/pivotTable" Target="../pivotTables/pivotTable8.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microsoft.com/office/2007/relationships/slicer" Target="../slicers/slicer1.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4.bin"/><Relationship Id="rId1" Type="http://schemas.openxmlformats.org/officeDocument/2006/relationships/pivotTable" Target="../pivotTables/pivotTable1.xml"/><Relationship Id="rId4" Type="http://schemas.microsoft.com/office/2011/relationships/timeline" Target="../timelines/timeline1.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4.xml"/><Relationship Id="rId7" Type="http://schemas.microsoft.com/office/2011/relationships/timeline" Target="../timelines/timeline2.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microsoft.com/office/2007/relationships/slicer" Target="../slicers/slicer2.xml"/><Relationship Id="rId5" Type="http://schemas.openxmlformats.org/officeDocument/2006/relationships/table" Target="../tables/table8.xm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5A614-FC88-4FBF-A117-81AC53907753}">
  <sheetPr>
    <tabColor rgb="FF7030A0"/>
  </sheetPr>
  <dimension ref="B1:K20"/>
  <sheetViews>
    <sheetView showGridLines="0" tabSelected="1" workbookViewId="0">
      <pane ySplit="1" topLeftCell="A2" activePane="bottomLeft" state="frozen"/>
      <selection pane="bottomLeft"/>
    </sheetView>
  </sheetViews>
  <sheetFormatPr defaultRowHeight="15"/>
  <cols>
    <col min="1" max="1" width="2.42578125" customWidth="1"/>
    <col min="2" max="2" width="14.5703125" customWidth="1"/>
    <col min="3" max="3" width="11.85546875" bestFit="1" customWidth="1"/>
    <col min="4" max="4" width="15.28515625" bestFit="1" customWidth="1"/>
    <col min="5" max="5" width="3" customWidth="1"/>
    <col min="6" max="6" width="23.85546875" customWidth="1"/>
    <col min="7" max="7" width="8.85546875" customWidth="1"/>
    <col min="8" max="8" width="3" customWidth="1"/>
    <col min="9" max="9" width="13.140625" bestFit="1" customWidth="1"/>
    <col min="10" max="10" width="11.85546875" bestFit="1" customWidth="1"/>
    <col min="11" max="11" width="15.28515625" bestFit="1" customWidth="1"/>
  </cols>
  <sheetData>
    <row r="1" spans="2:11" s="38" customFormat="1" ht="64.5" customHeight="1">
      <c r="B1" s="39" t="s">
        <v>183</v>
      </c>
    </row>
    <row r="2" spans="2:11" ht="14.1" customHeight="1">
      <c r="B2" s="40"/>
    </row>
    <row r="3" spans="2:11">
      <c r="B3" t="s">
        <v>159</v>
      </c>
      <c r="C3" t="s">
        <v>158</v>
      </c>
      <c r="D3" t="s">
        <v>160</v>
      </c>
      <c r="I3" t="s">
        <v>159</v>
      </c>
      <c r="J3" t="s">
        <v>158</v>
      </c>
      <c r="K3" t="s">
        <v>157</v>
      </c>
    </row>
    <row r="4" spans="2:11">
      <c r="B4" t="s">
        <v>120</v>
      </c>
      <c r="C4" t="s">
        <v>121</v>
      </c>
      <c r="D4">
        <v>0</v>
      </c>
      <c r="I4" t="s">
        <v>120</v>
      </c>
      <c r="J4" t="s">
        <v>121</v>
      </c>
      <c r="K4">
        <v>0</v>
      </c>
    </row>
    <row r="5" spans="2:11">
      <c r="B5" t="s">
        <v>122</v>
      </c>
      <c r="C5" t="s">
        <v>121</v>
      </c>
      <c r="D5">
        <v>0</v>
      </c>
      <c r="I5" t="s">
        <v>122</v>
      </c>
      <c r="J5" t="s">
        <v>121</v>
      </c>
      <c r="K5">
        <v>0</v>
      </c>
    </row>
    <row r="6" spans="2:11">
      <c r="B6" t="s">
        <v>123</v>
      </c>
      <c r="C6" t="s">
        <v>121</v>
      </c>
      <c r="D6">
        <v>0</v>
      </c>
      <c r="I6" t="s">
        <v>123</v>
      </c>
      <c r="J6" t="s">
        <v>121</v>
      </c>
      <c r="K6">
        <v>0</v>
      </c>
    </row>
    <row r="7" spans="2:11">
      <c r="B7" t="s">
        <v>28</v>
      </c>
      <c r="C7" t="s">
        <v>121</v>
      </c>
      <c r="D7">
        <v>0</v>
      </c>
      <c r="I7" t="s">
        <v>28</v>
      </c>
      <c r="J7" t="s">
        <v>121</v>
      </c>
      <c r="K7">
        <v>0</v>
      </c>
    </row>
    <row r="8" spans="2:11">
      <c r="B8" t="s">
        <v>38</v>
      </c>
      <c r="C8" t="s">
        <v>121</v>
      </c>
      <c r="D8">
        <v>0</v>
      </c>
      <c r="I8" t="s">
        <v>38</v>
      </c>
      <c r="J8" t="s">
        <v>121</v>
      </c>
      <c r="K8">
        <v>0</v>
      </c>
    </row>
    <row r="9" spans="2:11">
      <c r="B9" t="s">
        <v>125</v>
      </c>
      <c r="C9" t="s">
        <v>121</v>
      </c>
      <c r="D9">
        <v>0</v>
      </c>
      <c r="I9" t="s">
        <v>125</v>
      </c>
      <c r="J9" t="s">
        <v>121</v>
      </c>
      <c r="K9">
        <v>0</v>
      </c>
    </row>
    <row r="10" spans="2:11">
      <c r="B10" t="s">
        <v>156</v>
      </c>
      <c r="C10" t="s">
        <v>102</v>
      </c>
      <c r="D10">
        <v>0</v>
      </c>
      <c r="I10" t="s">
        <v>156</v>
      </c>
      <c r="J10" t="s">
        <v>102</v>
      </c>
      <c r="K10">
        <v>0</v>
      </c>
    </row>
    <row r="11" spans="2:11">
      <c r="B11" t="s">
        <v>44</v>
      </c>
      <c r="C11" t="s">
        <v>102</v>
      </c>
      <c r="D11">
        <v>6500</v>
      </c>
      <c r="I11" t="s">
        <v>44</v>
      </c>
      <c r="J11" t="s">
        <v>102</v>
      </c>
      <c r="K11">
        <v>4450</v>
      </c>
    </row>
    <row r="12" spans="2:11">
      <c r="F12" s="36" t="s">
        <v>155</v>
      </c>
      <c r="G12" s="35">
        <f>SUM(D4:D50)</f>
        <v>6500</v>
      </c>
    </row>
    <row r="14" spans="2:11">
      <c r="F14" s="36" t="s">
        <v>154</v>
      </c>
      <c r="G14" s="58">
        <f>SUM(($G$12)*0.1)*-1</f>
        <v>-650</v>
      </c>
    </row>
    <row r="15" spans="2:11">
      <c r="G15" s="37"/>
    </row>
    <row r="16" spans="2:11">
      <c r="F16" s="36" t="s">
        <v>153</v>
      </c>
      <c r="G16" s="58">
        <f>SUM(($G$12)*0.1)*-1</f>
        <v>-650</v>
      </c>
    </row>
    <row r="17" spans="6:7">
      <c r="G17" s="37"/>
    </row>
    <row r="18" spans="6:7">
      <c r="F18" s="36" t="s">
        <v>161</v>
      </c>
      <c r="G18" s="58">
        <f>SUM(($G$12)*0.1)*-1</f>
        <v>-650</v>
      </c>
    </row>
    <row r="20" spans="6:7">
      <c r="F20" s="36" t="s">
        <v>152</v>
      </c>
      <c r="G20" s="35">
        <f>SUM(Table68[NET Amount])+(G14)+(G16)+(G18)</f>
        <v>2500</v>
      </c>
    </row>
  </sheetData>
  <pageMargins left="0.7" right="0.7" top="0.75" bottom="0.75" header="0.3" footer="0.3"/>
  <drawing r:id="rId1"/>
  <tableParts count="2">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946B0-ED98-40CD-9053-5F1B5976BF61}">
  <sheetPr>
    <tabColor rgb="FF0070C0"/>
  </sheetPr>
  <dimension ref="A1:N54"/>
  <sheetViews>
    <sheetView showGridLines="0" zoomScaleNormal="100" workbookViewId="0">
      <selection sqref="A1:N1"/>
    </sheetView>
  </sheetViews>
  <sheetFormatPr defaultColWidth="8.5703125" defaultRowHeight="15"/>
  <cols>
    <col min="1" max="1" width="2" style="60" customWidth="1"/>
    <col min="2" max="2" width="30" style="60" customWidth="1"/>
    <col min="3" max="3" width="18" style="60" customWidth="1"/>
    <col min="4" max="4" width="22" style="60" customWidth="1"/>
    <col min="5" max="5" width="18" style="60" customWidth="1"/>
    <col min="6" max="6" width="20.42578125" style="60" customWidth="1"/>
    <col min="7" max="7" width="20.28515625" style="60" customWidth="1"/>
    <col min="8" max="8" width="13" style="60" bestFit="1" customWidth="1"/>
    <col min="9" max="16384" width="8.5703125" style="60"/>
  </cols>
  <sheetData>
    <row r="1" spans="1:14" ht="72.75" customHeight="1">
      <c r="A1" s="205" t="s">
        <v>222</v>
      </c>
      <c r="B1" s="205"/>
      <c r="C1" s="205"/>
      <c r="D1" s="205"/>
      <c r="E1" s="205"/>
      <c r="F1" s="205"/>
      <c r="G1" s="205"/>
      <c r="H1" s="205"/>
      <c r="I1" s="205"/>
      <c r="J1" s="205"/>
      <c r="K1" s="205"/>
      <c r="L1" s="205"/>
      <c r="M1" s="205"/>
      <c r="N1" s="205"/>
    </row>
    <row r="2" spans="1:14" ht="15.75" customHeight="1">
      <c r="B2" s="200" t="s">
        <v>221</v>
      </c>
      <c r="C2" s="200"/>
      <c r="D2" s="200"/>
      <c r="E2" s="200"/>
      <c r="F2" s="200"/>
      <c r="G2" s="200"/>
      <c r="H2" s="200"/>
      <c r="I2" s="200"/>
      <c r="J2" s="200"/>
      <c r="K2" s="200"/>
      <c r="L2" s="200"/>
      <c r="M2" s="200"/>
      <c r="N2" s="200"/>
    </row>
    <row r="4" spans="1:14" ht="15" customHeight="1">
      <c r="B4" s="72" t="s">
        <v>220</v>
      </c>
    </row>
    <row r="5" spans="1:14" ht="15" customHeight="1">
      <c r="B5" s="62" t="s">
        <v>219</v>
      </c>
      <c r="C5" s="62" t="s">
        <v>22</v>
      </c>
      <c r="D5" s="62" t="s">
        <v>218</v>
      </c>
      <c r="F5" s="206" t="s">
        <v>358</v>
      </c>
      <c r="G5" s="206"/>
      <c r="H5" s="207">
        <f ca="1">D15-D26</f>
        <v>476593.89669912262</v>
      </c>
    </row>
    <row r="6" spans="1:14" ht="15" customHeight="1">
      <c r="B6" s="63" t="s">
        <v>217</v>
      </c>
      <c r="C6" s="70" t="s">
        <v>215</v>
      </c>
      <c r="D6" s="69">
        <f>'🔒 Debts'!C12</f>
        <v>900000</v>
      </c>
      <c r="F6" s="206"/>
      <c r="G6" s="206"/>
      <c r="H6" s="207"/>
    </row>
    <row r="7" spans="1:14" ht="15" customHeight="1">
      <c r="B7" s="63" t="s">
        <v>216</v>
      </c>
      <c r="C7" s="70" t="s">
        <v>215</v>
      </c>
      <c r="D7" s="69">
        <f>'🔒 Debts'!C13</f>
        <v>375000</v>
      </c>
    </row>
    <row r="8" spans="1:14" ht="15" customHeight="1">
      <c r="B8" s="63" t="s">
        <v>325</v>
      </c>
      <c r="C8" s="70" t="s">
        <v>214</v>
      </c>
      <c r="D8" s="69"/>
    </row>
    <row r="9" spans="1:14" ht="15" customHeight="1">
      <c r="B9" s="63" t="s">
        <v>326</v>
      </c>
      <c r="C9" s="70" t="s">
        <v>214</v>
      </c>
      <c r="D9" s="69"/>
    </row>
    <row r="10" spans="1:14" ht="15" customHeight="1">
      <c r="B10" s="63" t="s">
        <v>213</v>
      </c>
      <c r="C10" s="70" t="s">
        <v>212</v>
      </c>
      <c r="D10" s="69"/>
    </row>
    <row r="11" spans="1:14" ht="15" customHeight="1">
      <c r="B11" s="63" t="s">
        <v>211</v>
      </c>
      <c r="C11" s="70" t="s">
        <v>211</v>
      </c>
      <c r="D11" s="69"/>
    </row>
    <row r="12" spans="1:14" ht="15" customHeight="1">
      <c r="B12" s="63" t="s">
        <v>210</v>
      </c>
      <c r="C12" s="70" t="s">
        <v>209</v>
      </c>
      <c r="D12" s="69"/>
    </row>
    <row r="13" spans="1:14" ht="15" customHeight="1">
      <c r="B13" s="63" t="s">
        <v>208</v>
      </c>
      <c r="C13" s="70" t="s">
        <v>195</v>
      </c>
      <c r="D13" s="69"/>
    </row>
    <row r="14" spans="1:14" ht="15" customHeight="1">
      <c r="B14" s="63" t="s">
        <v>207</v>
      </c>
      <c r="C14" s="70" t="s">
        <v>195</v>
      </c>
      <c r="D14" s="69"/>
    </row>
    <row r="15" spans="1:14" ht="15" customHeight="1">
      <c r="B15" s="64" t="s">
        <v>206</v>
      </c>
      <c r="D15" s="71">
        <f>SUM(D6:D14)</f>
        <v>1275000</v>
      </c>
    </row>
    <row r="17" spans="2:6" ht="15" customHeight="1">
      <c r="B17" s="68" t="s">
        <v>205</v>
      </c>
    </row>
    <row r="18" spans="2:6" ht="15" customHeight="1">
      <c r="B18" s="61" t="s">
        <v>204</v>
      </c>
      <c r="C18" s="61" t="s">
        <v>158</v>
      </c>
      <c r="D18" s="61" t="s">
        <v>203</v>
      </c>
    </row>
    <row r="19" spans="2:6" ht="15" customHeight="1">
      <c r="B19" s="63" t="s">
        <v>327</v>
      </c>
      <c r="C19" s="70" t="s">
        <v>141</v>
      </c>
      <c r="D19" s="69">
        <f ca="1">'🏡 Mortgage Calc'!C41</f>
        <v>306476.76863147784</v>
      </c>
    </row>
    <row r="20" spans="2:6" ht="15" customHeight="1">
      <c r="B20" s="63" t="s">
        <v>328</v>
      </c>
      <c r="C20" s="70" t="s">
        <v>141</v>
      </c>
      <c r="D20" s="69">
        <f ca="1">'🏡 Mortgage Calc'!F41</f>
        <v>312839.33466939948</v>
      </c>
    </row>
    <row r="21" spans="2:6" ht="15" customHeight="1">
      <c r="B21" s="63" t="s">
        <v>202</v>
      </c>
      <c r="C21" s="70" t="s">
        <v>199</v>
      </c>
      <c r="D21" s="69">
        <f>'🔒 Debts'!G4</f>
        <v>35000</v>
      </c>
    </row>
    <row r="22" spans="2:6" ht="15" customHeight="1">
      <c r="B22" s="63" t="s">
        <v>201</v>
      </c>
      <c r="C22" s="70" t="s">
        <v>199</v>
      </c>
      <c r="D22" s="69">
        <f>'🔒 Debts'!G5</f>
        <v>12850</v>
      </c>
    </row>
    <row r="23" spans="2:6" ht="15" customHeight="1">
      <c r="B23" s="63" t="s">
        <v>200</v>
      </c>
      <c r="C23" s="70" t="s">
        <v>199</v>
      </c>
      <c r="D23" s="69">
        <f>'🔒 Debts'!G6</f>
        <v>4240</v>
      </c>
    </row>
    <row r="24" spans="2:6" ht="15" customHeight="1">
      <c r="B24" s="63" t="s">
        <v>198</v>
      </c>
      <c r="C24" s="70" t="s">
        <v>196</v>
      </c>
      <c r="D24" s="69">
        <f>'🔒 Debts'!G7</f>
        <v>115000</v>
      </c>
    </row>
    <row r="25" spans="2:6" ht="15" customHeight="1">
      <c r="B25" s="63" t="s">
        <v>197</v>
      </c>
      <c r="C25" s="70" t="s">
        <v>196</v>
      </c>
      <c r="D25" s="69">
        <f>'🔒 Debts'!G8</f>
        <v>12000</v>
      </c>
    </row>
    <row r="26" spans="2:6" ht="15" customHeight="1">
      <c r="B26" s="68" t="s">
        <v>194</v>
      </c>
      <c r="D26" s="67">
        <f ca="1">SUM(D19:D25)</f>
        <v>798406.10330087738</v>
      </c>
    </row>
    <row r="29" spans="2:6" ht="15" customHeight="1">
      <c r="B29" s="201" t="s">
        <v>193</v>
      </c>
      <c r="C29" s="201"/>
    </row>
    <row r="30" spans="2:6" ht="15" customHeight="1">
      <c r="B30" s="62" t="s">
        <v>192</v>
      </c>
      <c r="C30" s="62" t="s">
        <v>191</v>
      </c>
      <c r="D30" s="62" t="s">
        <v>190</v>
      </c>
      <c r="E30" s="62" t="s">
        <v>189</v>
      </c>
      <c r="F30" s="62" t="s">
        <v>188</v>
      </c>
    </row>
    <row r="31" spans="2:6" ht="15" customHeight="1">
      <c r="B31" s="66"/>
      <c r="C31" s="65"/>
      <c r="D31" s="65"/>
      <c r="E31" s="65"/>
      <c r="F31" s="65"/>
    </row>
    <row r="32" spans="2:6" ht="15" customHeight="1">
      <c r="B32" s="66"/>
      <c r="C32" s="65"/>
      <c r="D32" s="65"/>
      <c r="E32" s="65"/>
      <c r="F32" s="65" t="str">
        <f t="shared" ref="F32:F54" si="0">IF(E32&lt;&gt;"",E32-E31,"")</f>
        <v/>
      </c>
    </row>
    <row r="33" spans="2:6" ht="15" customHeight="1">
      <c r="B33" s="66"/>
      <c r="C33" s="65"/>
      <c r="D33" s="65"/>
      <c r="E33" s="65"/>
      <c r="F33" s="65" t="str">
        <f t="shared" si="0"/>
        <v/>
      </c>
    </row>
    <row r="34" spans="2:6" ht="15" customHeight="1">
      <c r="B34" s="66"/>
      <c r="C34" s="65"/>
      <c r="D34" s="65"/>
      <c r="E34" s="65"/>
      <c r="F34" s="65" t="str">
        <f t="shared" si="0"/>
        <v/>
      </c>
    </row>
    <row r="35" spans="2:6" ht="15" customHeight="1">
      <c r="B35" s="66"/>
      <c r="C35" s="65"/>
      <c r="D35" s="65"/>
      <c r="E35" s="65"/>
      <c r="F35" s="65" t="str">
        <f t="shared" si="0"/>
        <v/>
      </c>
    </row>
    <row r="36" spans="2:6" ht="15" customHeight="1">
      <c r="B36" s="66"/>
      <c r="C36" s="65"/>
      <c r="D36" s="65"/>
      <c r="E36" s="65"/>
      <c r="F36" s="65" t="str">
        <f t="shared" si="0"/>
        <v/>
      </c>
    </row>
    <row r="37" spans="2:6" ht="15" customHeight="1">
      <c r="B37" s="66"/>
      <c r="C37" s="65"/>
      <c r="D37" s="65"/>
      <c r="E37" s="65"/>
      <c r="F37" s="65" t="str">
        <f t="shared" si="0"/>
        <v/>
      </c>
    </row>
    <row r="38" spans="2:6" ht="15" customHeight="1">
      <c r="B38" s="66"/>
      <c r="C38" s="65"/>
      <c r="D38" s="65"/>
      <c r="E38" s="65"/>
      <c r="F38" s="65" t="str">
        <f t="shared" si="0"/>
        <v/>
      </c>
    </row>
    <row r="39" spans="2:6" ht="15" customHeight="1">
      <c r="B39" s="66"/>
      <c r="C39" s="65"/>
      <c r="D39" s="65"/>
      <c r="E39" s="65"/>
      <c r="F39" s="65" t="str">
        <f t="shared" si="0"/>
        <v/>
      </c>
    </row>
    <row r="40" spans="2:6" ht="15" customHeight="1">
      <c r="B40" s="66"/>
      <c r="C40" s="65"/>
      <c r="D40" s="65"/>
      <c r="E40" s="65"/>
      <c r="F40" s="65" t="str">
        <f t="shared" si="0"/>
        <v/>
      </c>
    </row>
    <row r="41" spans="2:6" ht="15" customHeight="1">
      <c r="B41" s="66"/>
      <c r="C41" s="65"/>
      <c r="D41" s="65"/>
      <c r="E41" s="65"/>
      <c r="F41" s="65" t="str">
        <f t="shared" si="0"/>
        <v/>
      </c>
    </row>
    <row r="42" spans="2:6" ht="15" customHeight="1">
      <c r="B42" s="66"/>
      <c r="C42" s="65"/>
      <c r="D42" s="65"/>
      <c r="E42" s="65"/>
      <c r="F42" s="65" t="str">
        <f t="shared" si="0"/>
        <v/>
      </c>
    </row>
    <row r="43" spans="2:6" ht="15" customHeight="1">
      <c r="B43" s="66"/>
      <c r="C43" s="65"/>
      <c r="D43" s="65"/>
      <c r="E43" s="65"/>
      <c r="F43" s="65" t="str">
        <f t="shared" si="0"/>
        <v/>
      </c>
    </row>
    <row r="44" spans="2:6" ht="15" customHeight="1">
      <c r="B44" s="66"/>
      <c r="C44" s="65"/>
      <c r="D44" s="65"/>
      <c r="E44" s="65"/>
      <c r="F44" s="65" t="str">
        <f t="shared" si="0"/>
        <v/>
      </c>
    </row>
    <row r="45" spans="2:6" ht="15" customHeight="1">
      <c r="B45" s="66"/>
      <c r="C45" s="65"/>
      <c r="D45" s="65"/>
      <c r="E45" s="65"/>
      <c r="F45" s="65" t="str">
        <f t="shared" si="0"/>
        <v/>
      </c>
    </row>
    <row r="46" spans="2:6" ht="15" customHeight="1">
      <c r="B46" s="66"/>
      <c r="C46" s="65"/>
      <c r="D46" s="65"/>
      <c r="E46" s="65"/>
      <c r="F46" s="65" t="str">
        <f t="shared" si="0"/>
        <v/>
      </c>
    </row>
    <row r="47" spans="2:6" ht="15" customHeight="1">
      <c r="B47" s="66"/>
      <c r="C47" s="65"/>
      <c r="D47" s="65"/>
      <c r="E47" s="65"/>
      <c r="F47" s="65" t="str">
        <f t="shared" si="0"/>
        <v/>
      </c>
    </row>
    <row r="48" spans="2:6" ht="15" customHeight="1">
      <c r="B48" s="66"/>
      <c r="C48" s="65"/>
      <c r="D48" s="65"/>
      <c r="E48" s="65"/>
      <c r="F48" s="65" t="str">
        <f t="shared" si="0"/>
        <v/>
      </c>
    </row>
    <row r="49" spans="2:6" ht="15" customHeight="1">
      <c r="B49" s="66"/>
      <c r="C49" s="65"/>
      <c r="D49" s="65"/>
      <c r="E49" s="65"/>
      <c r="F49" s="65" t="str">
        <f t="shared" si="0"/>
        <v/>
      </c>
    </row>
    <row r="50" spans="2:6" ht="15" customHeight="1">
      <c r="B50" s="66"/>
      <c r="C50" s="65"/>
      <c r="D50" s="65"/>
      <c r="E50" s="65"/>
      <c r="F50" s="65" t="str">
        <f t="shared" si="0"/>
        <v/>
      </c>
    </row>
    <row r="51" spans="2:6" ht="15" customHeight="1">
      <c r="B51" s="66"/>
      <c r="C51" s="65"/>
      <c r="D51" s="65"/>
      <c r="E51" s="65"/>
      <c r="F51" s="65" t="str">
        <f t="shared" si="0"/>
        <v/>
      </c>
    </row>
    <row r="52" spans="2:6" ht="15" customHeight="1">
      <c r="B52" s="66"/>
      <c r="C52" s="65"/>
      <c r="D52" s="65"/>
      <c r="E52" s="65"/>
      <c r="F52" s="65" t="str">
        <f t="shared" si="0"/>
        <v/>
      </c>
    </row>
    <row r="53" spans="2:6" ht="15" customHeight="1">
      <c r="B53" s="66"/>
      <c r="C53" s="65"/>
      <c r="D53" s="65"/>
      <c r="E53" s="65"/>
      <c r="F53" s="65" t="str">
        <f t="shared" si="0"/>
        <v/>
      </c>
    </row>
    <row r="54" spans="2:6" ht="15" customHeight="1">
      <c r="B54" s="66"/>
      <c r="C54" s="65"/>
      <c r="D54" s="65"/>
      <c r="E54" s="65"/>
      <c r="F54" s="65" t="str">
        <f t="shared" si="0"/>
        <v/>
      </c>
    </row>
  </sheetData>
  <mergeCells count="5">
    <mergeCell ref="B2:N2"/>
    <mergeCell ref="A1:N1"/>
    <mergeCell ref="F5:G6"/>
    <mergeCell ref="H5:H6"/>
    <mergeCell ref="B29:C29"/>
  </mergeCells>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7BB50-8E32-48D3-AA90-6B11AEAA8EF0}">
  <sheetPr>
    <tabColor theme="0" tint="-0.14999847407452621"/>
  </sheetPr>
  <dimension ref="B1:S32"/>
  <sheetViews>
    <sheetView showGridLines="0" workbookViewId="0">
      <pane ySplit="1" topLeftCell="A2" activePane="bottomLeft" state="frozen"/>
      <selection pane="bottomLeft"/>
    </sheetView>
  </sheetViews>
  <sheetFormatPr defaultRowHeight="15"/>
  <cols>
    <col min="1" max="1" width="3.7109375" customWidth="1"/>
    <col min="2" max="2" width="25.5703125" customWidth="1"/>
    <col min="3" max="3" width="15.42578125" bestFit="1" customWidth="1"/>
    <col min="4" max="4" width="12.7109375" bestFit="1" customWidth="1"/>
    <col min="5" max="5" width="9" bestFit="1" customWidth="1"/>
    <col min="6" max="6" width="22.42578125" bestFit="1" customWidth="1"/>
    <col min="7" max="7" width="13.140625" customWidth="1"/>
    <col min="8" max="8" width="13.42578125" bestFit="1" customWidth="1"/>
    <col min="9" max="9" width="10.5703125" bestFit="1" customWidth="1"/>
    <col min="10" max="10" width="19.5703125" customWidth="1"/>
    <col min="11" max="12" width="9" bestFit="1" customWidth="1"/>
    <col min="13" max="13" width="3" customWidth="1"/>
    <col min="14" max="14" width="13" customWidth="1"/>
    <col min="15" max="16" width="9" bestFit="1" customWidth="1"/>
    <col min="17" max="17" width="3.42578125" customWidth="1"/>
    <col min="18" max="19" width="15.7109375" customWidth="1"/>
    <col min="20" max="20" width="11.85546875" bestFit="1" customWidth="1"/>
    <col min="21" max="21" width="11.28515625" bestFit="1" customWidth="1"/>
    <col min="23" max="23" width="3.42578125" customWidth="1"/>
    <col min="24" max="24" width="17.7109375" customWidth="1"/>
    <col min="25" max="25" width="11.140625" customWidth="1"/>
  </cols>
  <sheetData>
    <row r="1" spans="2:19" s="24" customFormat="1" ht="60.75" customHeight="1">
      <c r="B1" s="27" t="s">
        <v>111</v>
      </c>
      <c r="C1" s="23"/>
    </row>
    <row r="2" spans="2:19" ht="23.25" customHeight="1">
      <c r="B2" s="25" t="s">
        <v>106</v>
      </c>
      <c r="C2" s="59">
        <f>GETPIVOTDATA("Actual ",'📊 Report'!$K$16,"Category Type","Income Surplus/(Deficit)")</f>
        <v>25629.8</v>
      </c>
      <c r="D2" s="25" t="str">
        <f>IF(C2&gt;0,"INCOME SURPLUS","INCOME DEFICIT")</f>
        <v>INCOME SURPLUS</v>
      </c>
    </row>
    <row r="3" spans="2:19">
      <c r="B3" s="25" t="s">
        <v>118</v>
      </c>
      <c r="C3" s="59">
        <f>GETPIVOTDATA("Variance ",'📊 Report'!$K$16,"Category Type","Income Surplus/(Deficit)")</f>
        <v>38549.800000000003</v>
      </c>
      <c r="D3" s="25" t="str">
        <f>IF(C3&gt;0,"ABOVE BUDGET","BELOW BUDGET")</f>
        <v>ABOVE BUDGET</v>
      </c>
    </row>
    <row r="5" spans="2:19">
      <c r="C5" s="26" t="s">
        <v>108</v>
      </c>
      <c r="G5" s="26" t="s">
        <v>109</v>
      </c>
      <c r="N5" s="26" t="s">
        <v>110</v>
      </c>
      <c r="R5" s="26" t="s">
        <v>117</v>
      </c>
    </row>
    <row r="6" spans="2:19">
      <c r="C6" s="3" t="s">
        <v>81</v>
      </c>
      <c r="D6" s="7" t="s">
        <v>84</v>
      </c>
      <c r="E6" s="7" t="s">
        <v>83</v>
      </c>
      <c r="G6" s="3" t="s">
        <v>81</v>
      </c>
      <c r="H6" s="7" t="s">
        <v>84</v>
      </c>
      <c r="I6" s="7" t="s">
        <v>83</v>
      </c>
      <c r="N6" s="3" t="s">
        <v>81</v>
      </c>
      <c r="O6" s="7" t="s">
        <v>84</v>
      </c>
      <c r="P6" s="7" t="s">
        <v>83</v>
      </c>
      <c r="R6" s="3" t="s">
        <v>81</v>
      </c>
      <c r="S6" t="s">
        <v>84</v>
      </c>
    </row>
    <row r="7" spans="2:19">
      <c r="C7" s="4" t="s">
        <v>135</v>
      </c>
      <c r="D7" s="48"/>
      <c r="E7" s="48">
        <v>-2400</v>
      </c>
      <c r="G7" s="4">
        <v>2026</v>
      </c>
      <c r="H7" s="48"/>
      <c r="I7" s="48"/>
      <c r="N7" s="4">
        <v>2026</v>
      </c>
      <c r="O7" s="48"/>
      <c r="P7" s="48"/>
      <c r="R7" s="4" t="s">
        <v>44</v>
      </c>
      <c r="S7" s="48">
        <v>40000</v>
      </c>
    </row>
    <row r="8" spans="2:19">
      <c r="C8" s="4" t="s">
        <v>98</v>
      </c>
      <c r="D8" s="48"/>
      <c r="E8" s="48">
        <v>-360</v>
      </c>
      <c r="G8" s="5">
        <v>1</v>
      </c>
      <c r="H8" s="48">
        <v>-1806</v>
      </c>
      <c r="I8" s="48">
        <v>-5405</v>
      </c>
      <c r="N8" s="5">
        <v>1</v>
      </c>
      <c r="O8" s="48">
        <v>4035</v>
      </c>
      <c r="P8" s="48">
        <v>4450</v>
      </c>
      <c r="R8" s="4" t="s">
        <v>28</v>
      </c>
      <c r="S8" s="48">
        <v>2950</v>
      </c>
    </row>
    <row r="9" spans="2:19">
      <c r="C9" s="4" t="s">
        <v>121</v>
      </c>
      <c r="D9" s="48"/>
      <c r="E9" s="48">
        <v>-7860</v>
      </c>
      <c r="G9" s="5">
        <v>2</v>
      </c>
      <c r="H9" s="48">
        <v>-1676.7</v>
      </c>
      <c r="I9" s="48">
        <v>-5505</v>
      </c>
      <c r="N9" s="5">
        <v>2</v>
      </c>
      <c r="O9" s="48">
        <v>4036</v>
      </c>
      <c r="P9" s="48">
        <v>4450</v>
      </c>
      <c r="R9" s="4" t="s">
        <v>38</v>
      </c>
      <c r="S9" s="48">
        <v>395</v>
      </c>
    </row>
    <row r="10" spans="2:19">
      <c r="C10" s="4" t="s">
        <v>102</v>
      </c>
      <c r="D10" s="48"/>
      <c r="E10" s="48">
        <v>-12120</v>
      </c>
      <c r="G10" s="5">
        <v>3</v>
      </c>
      <c r="H10" s="48">
        <v>-1800.6</v>
      </c>
      <c r="I10" s="48">
        <v>-5685</v>
      </c>
      <c r="N10" s="5">
        <v>3</v>
      </c>
      <c r="O10" s="48">
        <v>5387</v>
      </c>
      <c r="P10" s="48">
        <v>4450</v>
      </c>
      <c r="R10" s="4" t="s">
        <v>123</v>
      </c>
      <c r="S10" s="48"/>
    </row>
    <row r="11" spans="2:19">
      <c r="C11" s="4" t="s">
        <v>150</v>
      </c>
      <c r="D11" s="48"/>
      <c r="E11" s="48">
        <v>-2300</v>
      </c>
      <c r="G11" s="5">
        <v>4</v>
      </c>
      <c r="H11" s="48">
        <v>-1782.6000000000001</v>
      </c>
      <c r="I11" s="48">
        <v>-5505</v>
      </c>
      <c r="N11" s="5">
        <v>4</v>
      </c>
      <c r="O11" s="48">
        <v>4038</v>
      </c>
      <c r="P11" s="48">
        <v>4450</v>
      </c>
      <c r="R11" s="4" t="s">
        <v>124</v>
      </c>
      <c r="S11" s="48"/>
    </row>
    <row r="12" spans="2:19">
      <c r="C12" s="4" t="s">
        <v>97</v>
      </c>
      <c r="D12" s="48">
        <v>-379</v>
      </c>
      <c r="E12" s="48">
        <v>-1200</v>
      </c>
      <c r="G12" s="5">
        <v>5</v>
      </c>
      <c r="H12" s="48">
        <v>-1854.6</v>
      </c>
      <c r="I12" s="48">
        <v>-5505</v>
      </c>
      <c r="N12" s="5">
        <v>5</v>
      </c>
      <c r="O12" s="48">
        <v>4039</v>
      </c>
      <c r="P12" s="48">
        <v>4450</v>
      </c>
      <c r="R12" s="4" t="s">
        <v>125</v>
      </c>
      <c r="S12" s="48"/>
    </row>
    <row r="13" spans="2:19">
      <c r="C13" s="4" t="s">
        <v>99</v>
      </c>
      <c r="D13" s="48">
        <v>-550</v>
      </c>
      <c r="E13" s="48">
        <v>-9060</v>
      </c>
      <c r="G13" s="5">
        <v>6</v>
      </c>
      <c r="H13" s="48">
        <v>-1738.3</v>
      </c>
      <c r="I13" s="48">
        <v>-5505</v>
      </c>
      <c r="N13" s="5">
        <v>6</v>
      </c>
      <c r="O13" s="48">
        <v>4040</v>
      </c>
      <c r="P13" s="48">
        <v>4450</v>
      </c>
      <c r="R13" s="4" t="s">
        <v>126</v>
      </c>
      <c r="S13" s="48"/>
    </row>
    <row r="14" spans="2:19">
      <c r="C14" s="4" t="s">
        <v>96</v>
      </c>
      <c r="D14" s="48">
        <v>-1115</v>
      </c>
      <c r="E14" s="48">
        <v>-3720</v>
      </c>
      <c r="G14" s="5">
        <v>7</v>
      </c>
      <c r="H14" s="48">
        <v>-1776.1000000000001</v>
      </c>
      <c r="I14" s="48">
        <v>-5505</v>
      </c>
      <c r="N14" s="5">
        <v>7</v>
      </c>
      <c r="O14" s="48">
        <v>4041</v>
      </c>
      <c r="P14" s="48">
        <v>4450</v>
      </c>
      <c r="R14" s="4" t="s">
        <v>120</v>
      </c>
      <c r="S14" s="48"/>
    </row>
    <row r="15" spans="2:19">
      <c r="C15" s="4" t="s">
        <v>101</v>
      </c>
      <c r="D15" s="48">
        <v>-1489.5</v>
      </c>
      <c r="E15" s="48">
        <v>-4200</v>
      </c>
      <c r="G15" s="5">
        <v>8</v>
      </c>
      <c r="H15" s="48">
        <v>-1672.2</v>
      </c>
      <c r="I15" s="48">
        <v>-5505</v>
      </c>
      <c r="N15" s="5">
        <v>8</v>
      </c>
      <c r="O15" s="48">
        <v>4042</v>
      </c>
      <c r="P15" s="48">
        <v>4450</v>
      </c>
      <c r="R15" s="4" t="s">
        <v>122</v>
      </c>
      <c r="S15" s="48"/>
    </row>
    <row r="16" spans="2:19">
      <c r="C16" s="4" t="s">
        <v>100</v>
      </c>
      <c r="D16" s="48">
        <v>-6854.0999999999995</v>
      </c>
      <c r="E16" s="48">
        <v>-20160</v>
      </c>
      <c r="G16" s="5">
        <v>9</v>
      </c>
      <c r="H16" s="48">
        <v>-1801.1</v>
      </c>
      <c r="I16" s="48">
        <v>-5685</v>
      </c>
      <c r="N16" s="5">
        <v>9</v>
      </c>
      <c r="O16" s="48">
        <v>5643</v>
      </c>
      <c r="P16" s="48">
        <v>4450</v>
      </c>
    </row>
    <row r="17" spans="3:16">
      <c r="C17" s="4" t="s">
        <v>95</v>
      </c>
      <c r="D17" s="48">
        <v>-7327.6000000000013</v>
      </c>
      <c r="E17" s="48">
        <v>-2940</v>
      </c>
      <c r="G17" s="5">
        <v>10</v>
      </c>
      <c r="H17" s="48">
        <v>-1807</v>
      </c>
      <c r="I17" s="48">
        <v>-5505</v>
      </c>
      <c r="N17" s="5">
        <v>10</v>
      </c>
      <c r="O17" s="48">
        <v>4044</v>
      </c>
      <c r="P17" s="48">
        <v>4450</v>
      </c>
    </row>
    <row r="18" spans="3:16">
      <c r="C18" s="4" t="s">
        <v>82</v>
      </c>
      <c r="D18" s="48">
        <v>-17715.2</v>
      </c>
      <c r="E18" s="48">
        <v>-66320</v>
      </c>
      <c r="G18" s="5">
        <v>11</v>
      </c>
      <c r="H18" s="48"/>
      <c r="I18" s="48">
        <v>-5505</v>
      </c>
      <c r="N18" s="5">
        <v>11</v>
      </c>
      <c r="O18" s="48"/>
      <c r="P18" s="48">
        <v>4450</v>
      </c>
    </row>
    <row r="19" spans="3:16">
      <c r="G19" s="5">
        <v>12</v>
      </c>
      <c r="H19" s="48"/>
      <c r="I19" s="48">
        <v>-5505</v>
      </c>
      <c r="N19" s="5">
        <v>12</v>
      </c>
      <c r="O19" s="48"/>
      <c r="P19" s="48">
        <v>4450</v>
      </c>
    </row>
    <row r="20" spans="3:16">
      <c r="G20" s="4" t="s">
        <v>361</v>
      </c>
      <c r="H20" s="48">
        <v>-17715.2</v>
      </c>
      <c r="I20" s="48">
        <v>-66320</v>
      </c>
      <c r="N20" s="4" t="s">
        <v>361</v>
      </c>
      <c r="O20" s="48">
        <v>43345</v>
      </c>
      <c r="P20" s="48">
        <v>53400</v>
      </c>
    </row>
    <row r="21" spans="3:16">
      <c r="G21" s="4"/>
      <c r="H21" s="48"/>
      <c r="I21" s="48"/>
      <c r="N21" s="4"/>
      <c r="O21" s="48"/>
      <c r="P21" s="48"/>
    </row>
    <row r="25" spans="3:16">
      <c r="C25" s="3" t="s">
        <v>81</v>
      </c>
      <c r="D25" t="s">
        <v>168</v>
      </c>
      <c r="E25" t="s">
        <v>172</v>
      </c>
    </row>
    <row r="26" spans="3:16">
      <c r="C26" s="4" t="s">
        <v>177</v>
      </c>
      <c r="D26" s="48">
        <v>3000</v>
      </c>
      <c r="E26" s="48">
        <v>1240</v>
      </c>
    </row>
    <row r="27" spans="3:16">
      <c r="C27" s="4" t="s">
        <v>178</v>
      </c>
      <c r="D27" s="48">
        <v>10000</v>
      </c>
      <c r="E27" s="48">
        <v>2000</v>
      </c>
    </row>
    <row r="28" spans="3:16">
      <c r="C28" s="4" t="s">
        <v>176</v>
      </c>
      <c r="D28" s="48">
        <v>10000</v>
      </c>
      <c r="E28" s="48">
        <v>2850</v>
      </c>
    </row>
    <row r="29" spans="3:16">
      <c r="C29" s="4" t="s">
        <v>286</v>
      </c>
      <c r="D29" s="48">
        <v>18000</v>
      </c>
      <c r="E29" s="48">
        <v>2500</v>
      </c>
    </row>
    <row r="30" spans="3:16">
      <c r="C30" s="4" t="s">
        <v>175</v>
      </c>
      <c r="D30" s="48">
        <v>23000</v>
      </c>
      <c r="E30" s="48">
        <v>12000</v>
      </c>
    </row>
    <row r="31" spans="3:16">
      <c r="C31" s="4" t="s">
        <v>179</v>
      </c>
      <c r="D31" s="48">
        <v>90000</v>
      </c>
      <c r="E31" s="48">
        <v>25000</v>
      </c>
    </row>
    <row r="32" spans="3:16">
      <c r="C32" s="4" t="s">
        <v>82</v>
      </c>
      <c r="D32" s="48">
        <v>154000</v>
      </c>
      <c r="E32" s="48">
        <v>45590</v>
      </c>
    </row>
  </sheetData>
  <dataValidations count="1">
    <dataValidation allowBlank="1" showInputMessage="1" showErrorMessage="1" promptTitle="DO NOT EDIT" prompt="Do not edit anything on this sheet. These are the PivotTables that support the charts on the Report sheet." sqref="A1" xr:uid="{7DA58931-9931-4FD3-8872-166A3C32BFAD}"/>
  </dataValidations>
  <pageMargins left="0.7" right="0.7" top="0.75" bottom="0.75" header="0.3" footer="0.3"/>
  <drawing r:id="rId6"/>
  <extLst>
    <ext xmlns:x14="http://schemas.microsoft.com/office/spreadsheetml/2009/9/main" uri="{A8765BA9-456A-4dab-B4F3-ACF838C121DE}">
      <x14:slicerList>
        <x14:slicer r:id="rId7"/>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C7982-2DC2-4625-95C8-DDB0DF4E0CA8}">
  <dimension ref="A1:F47"/>
  <sheetViews>
    <sheetView workbookViewId="0">
      <selection sqref="A1:F1"/>
    </sheetView>
  </sheetViews>
  <sheetFormatPr defaultRowHeight="15"/>
  <cols>
    <col min="1" max="1" width="10.5703125" customWidth="1"/>
    <col min="2" max="2" width="12" customWidth="1"/>
    <col min="3" max="3" width="16.42578125" customWidth="1"/>
    <col min="6" max="6" width="14" bestFit="1" customWidth="1"/>
  </cols>
  <sheetData>
    <row r="1" spans="1:6">
      <c r="A1" s="1" t="s">
        <v>7</v>
      </c>
      <c r="B1" s="1" t="s">
        <v>6</v>
      </c>
      <c r="C1" s="1" t="s">
        <v>46</v>
      </c>
      <c r="D1" s="1" t="s">
        <v>47</v>
      </c>
      <c r="E1" s="1" t="s">
        <v>48</v>
      </c>
      <c r="F1" t="s">
        <v>21</v>
      </c>
    </row>
    <row r="2" spans="1:6">
      <c r="A2" t="s">
        <v>48</v>
      </c>
      <c r="B2" s="2">
        <v>46327</v>
      </c>
      <c r="C2" t="s">
        <v>51</v>
      </c>
      <c r="D2">
        <v>5</v>
      </c>
      <c r="F2" t="s">
        <v>26</v>
      </c>
    </row>
    <row r="3" spans="1:6">
      <c r="A3" t="s">
        <v>48</v>
      </c>
      <c r="B3" s="2">
        <v>46329</v>
      </c>
      <c r="C3" t="s">
        <v>51</v>
      </c>
      <c r="D3">
        <v>5</v>
      </c>
      <c r="F3" t="s">
        <v>26</v>
      </c>
    </row>
    <row r="4" spans="1:6">
      <c r="A4" t="s">
        <v>49</v>
      </c>
      <c r="B4" s="2">
        <v>46329</v>
      </c>
      <c r="C4" t="s">
        <v>50</v>
      </c>
      <c r="E4">
        <v>4000</v>
      </c>
      <c r="F4" t="s">
        <v>44</v>
      </c>
    </row>
    <row r="5" spans="1:6">
      <c r="A5" t="s">
        <v>48</v>
      </c>
      <c r="B5" s="2">
        <v>46330</v>
      </c>
      <c r="C5" t="s">
        <v>51</v>
      </c>
      <c r="D5">
        <v>5</v>
      </c>
      <c r="F5" t="s">
        <v>26</v>
      </c>
    </row>
    <row r="6" spans="1:6">
      <c r="A6" t="s">
        <v>49</v>
      </c>
      <c r="B6" s="2">
        <v>46332</v>
      </c>
      <c r="C6" t="s">
        <v>52</v>
      </c>
      <c r="D6">
        <v>927</v>
      </c>
      <c r="F6" t="s">
        <v>42</v>
      </c>
    </row>
    <row r="7" spans="1:6">
      <c r="A7" t="s">
        <v>49</v>
      </c>
      <c r="B7" s="2">
        <v>46332</v>
      </c>
      <c r="C7" t="s">
        <v>53</v>
      </c>
      <c r="D7">
        <v>150</v>
      </c>
      <c r="F7" t="s">
        <v>40</v>
      </c>
    </row>
    <row r="8" spans="1:6">
      <c r="A8" t="s">
        <v>48</v>
      </c>
      <c r="B8" s="2">
        <v>46332</v>
      </c>
      <c r="C8" t="s">
        <v>51</v>
      </c>
      <c r="D8">
        <v>5</v>
      </c>
      <c r="F8" t="s">
        <v>26</v>
      </c>
    </row>
    <row r="9" spans="1:6">
      <c r="A9" t="s">
        <v>48</v>
      </c>
      <c r="B9" s="2">
        <v>46332</v>
      </c>
      <c r="C9" t="s">
        <v>51</v>
      </c>
      <c r="D9">
        <v>5</v>
      </c>
      <c r="F9" t="s">
        <v>26</v>
      </c>
    </row>
    <row r="10" spans="1:6">
      <c r="A10" t="s">
        <v>48</v>
      </c>
      <c r="B10" s="2">
        <v>46333</v>
      </c>
      <c r="C10" t="s">
        <v>51</v>
      </c>
      <c r="D10">
        <v>5</v>
      </c>
      <c r="F10" t="s">
        <v>26</v>
      </c>
    </row>
    <row r="11" spans="1:6">
      <c r="A11" t="s">
        <v>48</v>
      </c>
      <c r="B11" s="2">
        <v>46334</v>
      </c>
      <c r="C11" t="s">
        <v>51</v>
      </c>
      <c r="D11">
        <v>5</v>
      </c>
      <c r="F11" t="s">
        <v>26</v>
      </c>
    </row>
    <row r="12" spans="1:6">
      <c r="A12" t="s">
        <v>48</v>
      </c>
      <c r="B12" s="2">
        <v>46334</v>
      </c>
      <c r="C12" t="s">
        <v>54</v>
      </c>
      <c r="D12">
        <v>160</v>
      </c>
      <c r="F12" t="s">
        <v>36</v>
      </c>
    </row>
    <row r="13" spans="1:6">
      <c r="A13" t="s">
        <v>49</v>
      </c>
      <c r="B13" s="2">
        <v>46337</v>
      </c>
      <c r="C13" t="s">
        <v>55</v>
      </c>
      <c r="D13">
        <v>49</v>
      </c>
      <c r="F13" t="s">
        <v>34</v>
      </c>
    </row>
    <row r="14" spans="1:6">
      <c r="A14" t="s">
        <v>48</v>
      </c>
      <c r="B14" s="2">
        <v>46337</v>
      </c>
      <c r="C14" t="s">
        <v>51</v>
      </c>
      <c r="D14">
        <v>5</v>
      </c>
      <c r="F14" t="s">
        <v>26</v>
      </c>
    </row>
    <row r="15" spans="1:6">
      <c r="A15" t="s">
        <v>48</v>
      </c>
      <c r="B15" s="2">
        <v>46338</v>
      </c>
      <c r="C15" t="s">
        <v>51</v>
      </c>
      <c r="D15">
        <v>5</v>
      </c>
      <c r="F15" t="s">
        <v>26</v>
      </c>
    </row>
    <row r="16" spans="1:6">
      <c r="A16" t="s">
        <v>48</v>
      </c>
      <c r="B16" s="2">
        <v>46339</v>
      </c>
      <c r="C16" t="s">
        <v>56</v>
      </c>
      <c r="D16">
        <v>94</v>
      </c>
      <c r="F16" t="s">
        <v>39</v>
      </c>
    </row>
    <row r="17" spans="1:6">
      <c r="A17" t="s">
        <v>48</v>
      </c>
      <c r="B17" s="2">
        <v>46339</v>
      </c>
      <c r="C17" t="s">
        <v>51</v>
      </c>
      <c r="D17">
        <v>5</v>
      </c>
      <c r="F17" t="s">
        <v>26</v>
      </c>
    </row>
    <row r="18" spans="1:6">
      <c r="A18" t="s">
        <v>48</v>
      </c>
      <c r="B18" s="2">
        <v>46340</v>
      </c>
      <c r="C18" t="s">
        <v>51</v>
      </c>
      <c r="D18">
        <v>5</v>
      </c>
      <c r="F18" t="s">
        <v>26</v>
      </c>
    </row>
    <row r="19" spans="1:6">
      <c r="A19" t="s">
        <v>48</v>
      </c>
      <c r="B19" s="2">
        <v>46341</v>
      </c>
      <c r="C19" t="s">
        <v>54</v>
      </c>
      <c r="D19">
        <v>133</v>
      </c>
      <c r="F19" t="s">
        <v>36</v>
      </c>
    </row>
    <row r="20" spans="1:6">
      <c r="A20" t="s">
        <v>48</v>
      </c>
      <c r="B20" s="2">
        <v>46341</v>
      </c>
      <c r="C20" t="s">
        <v>51</v>
      </c>
      <c r="D20">
        <v>5</v>
      </c>
      <c r="F20" t="s">
        <v>26</v>
      </c>
    </row>
    <row r="21" spans="1:6">
      <c r="A21" t="s">
        <v>48</v>
      </c>
      <c r="B21" s="2">
        <v>46342</v>
      </c>
      <c r="C21" t="s">
        <v>51</v>
      </c>
      <c r="D21">
        <v>5</v>
      </c>
      <c r="F21" t="s">
        <v>26</v>
      </c>
    </row>
    <row r="22" spans="1:6">
      <c r="A22" t="s">
        <v>48</v>
      </c>
      <c r="B22" s="2">
        <v>46342</v>
      </c>
      <c r="C22" t="s">
        <v>57</v>
      </c>
      <c r="D22">
        <v>36</v>
      </c>
      <c r="F22" t="s">
        <v>32</v>
      </c>
    </row>
    <row r="23" spans="1:6">
      <c r="A23" t="s">
        <v>48</v>
      </c>
      <c r="B23" s="2">
        <v>46342</v>
      </c>
      <c r="C23" t="s">
        <v>58</v>
      </c>
      <c r="D23">
        <v>74</v>
      </c>
      <c r="F23" t="s">
        <v>24</v>
      </c>
    </row>
    <row r="24" spans="1:6">
      <c r="A24" t="s">
        <v>48</v>
      </c>
      <c r="B24" s="2">
        <v>46342</v>
      </c>
      <c r="C24" t="s">
        <v>59</v>
      </c>
      <c r="D24">
        <v>72</v>
      </c>
      <c r="F24" t="s">
        <v>43</v>
      </c>
    </row>
    <row r="25" spans="1:6">
      <c r="A25" t="s">
        <v>48</v>
      </c>
      <c r="B25" s="2">
        <v>46343</v>
      </c>
      <c r="C25" t="s">
        <v>60</v>
      </c>
      <c r="D25">
        <v>28</v>
      </c>
      <c r="F25" t="s">
        <v>45</v>
      </c>
    </row>
    <row r="26" spans="1:6">
      <c r="A26" t="s">
        <v>49</v>
      </c>
      <c r="B26" s="2">
        <v>46344</v>
      </c>
      <c r="C26" t="s">
        <v>61</v>
      </c>
      <c r="D26">
        <v>30</v>
      </c>
      <c r="F26" t="s">
        <v>37</v>
      </c>
    </row>
    <row r="27" spans="1:6">
      <c r="A27" t="s">
        <v>48</v>
      </c>
      <c r="B27" s="2">
        <v>46344</v>
      </c>
      <c r="C27" t="s">
        <v>51</v>
      </c>
      <c r="D27">
        <v>5</v>
      </c>
      <c r="F27" t="s">
        <v>26</v>
      </c>
    </row>
    <row r="28" spans="1:6">
      <c r="A28" t="s">
        <v>48</v>
      </c>
      <c r="B28" s="2">
        <v>46345</v>
      </c>
      <c r="C28" t="s">
        <v>51</v>
      </c>
      <c r="D28">
        <v>5</v>
      </c>
      <c r="F28" t="s">
        <v>26</v>
      </c>
    </row>
    <row r="29" spans="1:6">
      <c r="A29" t="s">
        <v>49</v>
      </c>
      <c r="B29" s="2">
        <v>46345</v>
      </c>
      <c r="C29" t="s">
        <v>63</v>
      </c>
      <c r="D29">
        <v>40</v>
      </c>
      <c r="F29" t="s">
        <v>41</v>
      </c>
    </row>
    <row r="30" spans="1:6">
      <c r="A30" t="s">
        <v>48</v>
      </c>
      <c r="B30" s="2">
        <v>46346</v>
      </c>
      <c r="C30" t="s">
        <v>65</v>
      </c>
      <c r="D30">
        <v>35</v>
      </c>
      <c r="F30" t="s">
        <v>32</v>
      </c>
    </row>
    <row r="31" spans="1:6">
      <c r="A31" t="s">
        <v>48</v>
      </c>
      <c r="B31" s="2">
        <v>46346</v>
      </c>
      <c r="C31" t="s">
        <v>51</v>
      </c>
      <c r="D31">
        <v>5</v>
      </c>
      <c r="F31" t="s">
        <v>26</v>
      </c>
    </row>
    <row r="32" spans="1:6">
      <c r="A32" t="s">
        <v>48</v>
      </c>
      <c r="B32" s="2">
        <v>46347</v>
      </c>
      <c r="C32" t="s">
        <v>51</v>
      </c>
      <c r="D32">
        <v>5</v>
      </c>
      <c r="F32" t="s">
        <v>26</v>
      </c>
    </row>
    <row r="33" spans="1:6">
      <c r="A33" t="s">
        <v>48</v>
      </c>
      <c r="B33" s="2">
        <v>46348</v>
      </c>
      <c r="C33" t="s">
        <v>51</v>
      </c>
      <c r="D33">
        <v>5</v>
      </c>
      <c r="F33" t="s">
        <v>26</v>
      </c>
    </row>
    <row r="34" spans="1:6">
      <c r="A34" t="s">
        <v>48</v>
      </c>
      <c r="B34" s="2">
        <v>46348</v>
      </c>
      <c r="C34" t="s">
        <v>54</v>
      </c>
      <c r="D34">
        <v>214</v>
      </c>
      <c r="F34" t="s">
        <v>36</v>
      </c>
    </row>
    <row r="35" spans="1:6">
      <c r="A35" t="s">
        <v>48</v>
      </c>
      <c r="B35" s="2">
        <v>46349</v>
      </c>
      <c r="C35" t="s">
        <v>66</v>
      </c>
      <c r="D35">
        <v>59</v>
      </c>
      <c r="F35" t="s">
        <v>43</v>
      </c>
    </row>
    <row r="36" spans="1:6">
      <c r="A36" t="s">
        <v>48</v>
      </c>
      <c r="B36" s="2">
        <v>46350</v>
      </c>
      <c r="C36" t="s">
        <v>67</v>
      </c>
      <c r="D36">
        <v>13</v>
      </c>
      <c r="F36" t="s">
        <v>43</v>
      </c>
    </row>
    <row r="37" spans="1:6">
      <c r="A37" t="s">
        <v>49</v>
      </c>
      <c r="B37" s="2">
        <v>46351</v>
      </c>
      <c r="C37" t="s">
        <v>68</v>
      </c>
      <c r="D37">
        <v>55</v>
      </c>
      <c r="F37" t="s">
        <v>31</v>
      </c>
    </row>
    <row r="38" spans="1:6">
      <c r="A38" t="s">
        <v>48</v>
      </c>
      <c r="B38" s="2">
        <v>46351</v>
      </c>
      <c r="C38" t="s">
        <v>56</v>
      </c>
      <c r="D38">
        <v>69</v>
      </c>
      <c r="F38" t="s">
        <v>39</v>
      </c>
    </row>
    <row r="39" spans="1:6">
      <c r="A39" t="s">
        <v>48</v>
      </c>
      <c r="B39" s="2">
        <v>46351</v>
      </c>
      <c r="C39" t="s">
        <v>51</v>
      </c>
      <c r="D39">
        <v>5</v>
      </c>
      <c r="F39" t="s">
        <v>26</v>
      </c>
    </row>
    <row r="40" spans="1:6">
      <c r="A40" t="s">
        <v>48</v>
      </c>
      <c r="B40" s="2">
        <v>46352</v>
      </c>
      <c r="C40" t="s">
        <v>51</v>
      </c>
      <c r="D40">
        <v>5</v>
      </c>
      <c r="F40" t="s">
        <v>26</v>
      </c>
    </row>
    <row r="41" spans="1:6">
      <c r="A41" t="s">
        <v>48</v>
      </c>
      <c r="B41" s="2">
        <v>46353</v>
      </c>
      <c r="C41" t="s">
        <v>51</v>
      </c>
      <c r="D41">
        <v>5</v>
      </c>
      <c r="F41" t="s">
        <v>26</v>
      </c>
    </row>
    <row r="42" spans="1:6">
      <c r="A42" t="s">
        <v>48</v>
      </c>
      <c r="B42" s="2">
        <v>46354</v>
      </c>
      <c r="C42" t="s">
        <v>51</v>
      </c>
      <c r="D42">
        <v>5</v>
      </c>
      <c r="F42" t="s">
        <v>26</v>
      </c>
    </row>
    <row r="43" spans="1:6">
      <c r="A43" t="s">
        <v>48</v>
      </c>
      <c r="B43" s="2">
        <v>46355</v>
      </c>
      <c r="C43" t="s">
        <v>51</v>
      </c>
      <c r="D43">
        <v>5</v>
      </c>
      <c r="F43" t="s">
        <v>26</v>
      </c>
    </row>
    <row r="44" spans="1:6">
      <c r="A44" t="s">
        <v>48</v>
      </c>
      <c r="B44" s="2">
        <v>46355</v>
      </c>
      <c r="C44" t="s">
        <v>54</v>
      </c>
      <c r="D44">
        <v>210</v>
      </c>
      <c r="F44" t="s">
        <v>36</v>
      </c>
    </row>
    <row r="45" spans="1:6">
      <c r="A45" t="s">
        <v>48</v>
      </c>
      <c r="B45" s="2">
        <v>46356</v>
      </c>
      <c r="C45" t="s">
        <v>58</v>
      </c>
      <c r="D45">
        <v>239</v>
      </c>
    </row>
    <row r="46" spans="1:6">
      <c r="A46" t="s">
        <v>48</v>
      </c>
      <c r="B46" s="2">
        <v>46356</v>
      </c>
      <c r="C46" t="s">
        <v>60</v>
      </c>
      <c r="D46">
        <v>40</v>
      </c>
    </row>
    <row r="47" spans="1:6">
      <c r="A47" t="s">
        <v>48</v>
      </c>
      <c r="B47" s="2">
        <v>46356</v>
      </c>
      <c r="C47" t="s">
        <v>74</v>
      </c>
      <c r="D47">
        <v>30</v>
      </c>
    </row>
  </sheetData>
  <dataValidations count="1">
    <dataValidation type="list" allowBlank="1" showInputMessage="1" showErrorMessage="1" sqref="F2:F47" xr:uid="{E964F35D-42A4-4B99-BF8A-1568F36E51E8}">
      <formula1>subcategories</formula1>
    </dataValidation>
  </dataValidations>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A8A62-8E1C-4660-94E3-30EAD0579A72}">
  <dimension ref="A1:H35"/>
  <sheetViews>
    <sheetView showGridLines="0" workbookViewId="0"/>
  </sheetViews>
  <sheetFormatPr defaultColWidth="0" defaultRowHeight="15" customHeight="1" zeroHeight="1"/>
  <cols>
    <col min="1" max="1" width="4" customWidth="1"/>
    <col min="2" max="2" width="46.28515625" customWidth="1"/>
    <col min="3" max="3" width="61" customWidth="1"/>
    <col min="4" max="4" width="1.42578125" customWidth="1"/>
    <col min="5" max="7" width="9.140625" customWidth="1"/>
    <col min="8" max="16384" width="9.140625" hidden="1"/>
  </cols>
  <sheetData>
    <row r="1" spans="1:8" ht="51" customHeight="1">
      <c r="A1" s="31"/>
      <c r="B1" s="31" t="s">
        <v>357</v>
      </c>
      <c r="C1" s="31"/>
      <c r="D1" s="31"/>
      <c r="E1" s="31"/>
      <c r="F1" s="31"/>
      <c r="G1" s="31"/>
      <c r="H1" s="31"/>
    </row>
    <row r="2" spans="1:8"/>
    <row r="3" spans="1:8">
      <c r="B3" s="28"/>
    </row>
    <row r="4" spans="1:8">
      <c r="B4" s="170" t="s">
        <v>329</v>
      </c>
    </row>
    <row r="5" spans="1:8">
      <c r="B5" s="171" t="s">
        <v>330</v>
      </c>
      <c r="C5" s="171" t="s">
        <v>331</v>
      </c>
    </row>
    <row r="6" spans="1:8">
      <c r="B6" s="171" t="s">
        <v>332</v>
      </c>
      <c r="C6" s="171" t="s">
        <v>333</v>
      </c>
    </row>
    <row r="7" spans="1:8">
      <c r="B7" s="171"/>
    </row>
    <row r="8" spans="1:8">
      <c r="B8" s="170" t="s">
        <v>334</v>
      </c>
    </row>
    <row r="9" spans="1:8">
      <c r="B9" s="171" t="s">
        <v>335</v>
      </c>
      <c r="C9" s="171" t="s">
        <v>336</v>
      </c>
    </row>
    <row r="10" spans="1:8">
      <c r="B10" s="171" t="s">
        <v>337</v>
      </c>
      <c r="C10" s="171" t="s">
        <v>338</v>
      </c>
    </row>
    <row r="11" spans="1:8">
      <c r="B11" s="171"/>
    </row>
    <row r="12" spans="1:8">
      <c r="B12" s="170" t="s">
        <v>339</v>
      </c>
    </row>
    <row r="13" spans="1:8">
      <c r="B13" s="171" t="s">
        <v>340</v>
      </c>
      <c r="C13" s="171" t="s">
        <v>341</v>
      </c>
    </row>
    <row r="14" spans="1:8">
      <c r="B14" s="171" t="s">
        <v>342</v>
      </c>
      <c r="C14" s="171" t="s">
        <v>343</v>
      </c>
    </row>
    <row r="15" spans="1:8">
      <c r="B15" s="171" t="s">
        <v>344</v>
      </c>
      <c r="C15" s="171" t="s">
        <v>345</v>
      </c>
    </row>
    <row r="16" spans="1:8">
      <c r="B16" s="171" t="s">
        <v>346</v>
      </c>
      <c r="C16" s="171" t="s">
        <v>347</v>
      </c>
    </row>
    <row r="17" spans="2:3">
      <c r="B17" s="171" t="s">
        <v>348</v>
      </c>
      <c r="C17" s="171" t="s">
        <v>349</v>
      </c>
    </row>
    <row r="18" spans="2:3">
      <c r="B18" s="171"/>
    </row>
    <row r="19" spans="2:3">
      <c r="B19" s="170" t="s">
        <v>350</v>
      </c>
    </row>
    <row r="20" spans="2:3">
      <c r="B20" s="171" t="s">
        <v>351</v>
      </c>
      <c r="C20" s="171" t="s">
        <v>352</v>
      </c>
    </row>
    <row r="21" spans="2:3">
      <c r="B21" s="171" t="s">
        <v>353</v>
      </c>
      <c r="C21" s="171" t="s">
        <v>354</v>
      </c>
    </row>
    <row r="22" spans="2:3">
      <c r="B22" s="171" t="s">
        <v>355</v>
      </c>
      <c r="C22" s="171" t="s">
        <v>356</v>
      </c>
    </row>
    <row r="23" spans="2:3">
      <c r="B23" s="32"/>
      <c r="C23" s="33"/>
    </row>
    <row r="24" spans="2:3">
      <c r="B24" s="32"/>
      <c r="C24" s="33"/>
    </row>
    <row r="25" spans="2:3">
      <c r="B25" s="32"/>
      <c r="C25" s="33"/>
    </row>
    <row r="26" spans="2:3">
      <c r="B26" s="28"/>
      <c r="C26" s="33"/>
    </row>
    <row r="27" spans="2:3"/>
    <row r="28" spans="2:3"/>
    <row r="29" spans="2:3"/>
    <row r="30" spans="2:3"/>
    <row r="31" spans="2:3" ht="15" customHeight="1"/>
    <row r="32" spans="2:3" ht="15" customHeight="1"/>
    <row r="33" ht="15" customHeight="1"/>
    <row r="34" ht="15" customHeight="1"/>
    <row r="35" ht="15" customHeight="1"/>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33B34-C91D-4BF0-83C0-7DFE943BECF0}">
  <dimension ref="A1:Q23"/>
  <sheetViews>
    <sheetView showGridLines="0" workbookViewId="0"/>
  </sheetViews>
  <sheetFormatPr defaultColWidth="0" defaultRowHeight="15" zeroHeight="1"/>
  <cols>
    <col min="1" max="1" width="4.85546875" customWidth="1"/>
    <col min="2" max="17" width="9.140625" customWidth="1"/>
    <col min="18" max="16384" width="9.140625" hidden="1"/>
  </cols>
  <sheetData>
    <row r="1" spans="1:17" ht="52.5" customHeight="1">
      <c r="A1" s="31"/>
      <c r="B1" s="31" t="s">
        <v>116</v>
      </c>
      <c r="C1" s="31"/>
      <c r="D1" s="31"/>
      <c r="E1" s="31"/>
      <c r="F1" s="31"/>
      <c r="G1" s="31"/>
      <c r="H1" s="31"/>
      <c r="I1" s="31"/>
      <c r="J1" s="31"/>
      <c r="K1" s="31"/>
      <c r="L1" s="31"/>
      <c r="M1" s="31"/>
      <c r="N1" s="31"/>
      <c r="O1" s="31"/>
      <c r="P1" s="31"/>
      <c r="Q1" s="31"/>
    </row>
    <row r="2" spans="1:17"/>
    <row r="3" spans="1:17" ht="18.75">
      <c r="B3" s="30" t="s">
        <v>12</v>
      </c>
    </row>
    <row r="4" spans="1:17" ht="18.75">
      <c r="B4" s="29" t="s">
        <v>363</v>
      </c>
    </row>
    <row r="5" spans="1:17" ht="18.75">
      <c r="B5" s="29" t="s">
        <v>115</v>
      </c>
    </row>
    <row r="6" spans="1:17" ht="18.75">
      <c r="B6" s="29" t="s">
        <v>119</v>
      </c>
    </row>
    <row r="7" spans="1:17" ht="18.75">
      <c r="B7" s="29"/>
    </row>
    <row r="8" spans="1:17" ht="18.75">
      <c r="B8" s="29" t="s">
        <v>364</v>
      </c>
    </row>
    <row r="9" spans="1:17"/>
    <row r="10" spans="1:17" ht="18.75">
      <c r="B10" s="29" t="s">
        <v>114</v>
      </c>
    </row>
    <row r="11" spans="1:17" ht="18.75">
      <c r="B11" s="29" t="s">
        <v>113</v>
      </c>
    </row>
    <row r="12" spans="1:17" ht="18.75">
      <c r="B12" s="29"/>
    </row>
    <row r="13" spans="1:17" ht="43.5" customHeight="1">
      <c r="B13" s="202" t="s">
        <v>365</v>
      </c>
      <c r="C13" s="202"/>
      <c r="D13" s="202"/>
      <c r="E13" s="202"/>
      <c r="F13" s="202"/>
      <c r="G13" s="202"/>
      <c r="H13" s="202"/>
      <c r="I13" s="202"/>
      <c r="J13" s="202"/>
      <c r="K13" s="202"/>
      <c r="L13" s="202"/>
      <c r="M13" s="202"/>
      <c r="N13" s="202"/>
      <c r="O13" s="202"/>
      <c r="P13" s="202"/>
      <c r="Q13" s="202"/>
    </row>
    <row r="14" spans="1:17"/>
    <row r="23" spans="2:2" hidden="1">
      <c r="B23" t="s">
        <v>112</v>
      </c>
    </row>
  </sheetData>
  <mergeCells count="1">
    <mergeCell ref="B13:Q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335C8-016A-40C3-962C-643314D8A3DC}">
  <sheetPr>
    <tabColor theme="5" tint="0.39997558519241921"/>
  </sheetPr>
  <dimension ref="B1:H20"/>
  <sheetViews>
    <sheetView showGridLines="0" workbookViewId="0">
      <pane ySplit="1" topLeftCell="A2" activePane="bottomLeft" state="frozen"/>
      <selection pane="bottomLeft"/>
    </sheetView>
  </sheetViews>
  <sheetFormatPr defaultRowHeight="15"/>
  <cols>
    <col min="1" max="1" width="2.5703125" customWidth="1"/>
    <col min="2" max="2" width="19.42578125" bestFit="1" customWidth="1"/>
    <col min="3" max="4" width="20.42578125" bestFit="1" customWidth="1"/>
    <col min="5" max="5" width="14.85546875" bestFit="1" customWidth="1"/>
    <col min="6" max="6" width="18" bestFit="1" customWidth="1"/>
    <col min="7" max="8" width="18.28515625" bestFit="1" customWidth="1"/>
    <col min="9" max="9" width="25.28515625" bestFit="1" customWidth="1"/>
    <col min="10" max="10" width="18.28515625" bestFit="1" customWidth="1"/>
  </cols>
  <sheetData>
    <row r="1" spans="2:8" s="42" customFormat="1" ht="72.75" customHeight="1">
      <c r="B1" s="75"/>
      <c r="C1" s="75" t="s">
        <v>164</v>
      </c>
    </row>
    <row r="3" spans="2:8">
      <c r="B3" s="50" t="s">
        <v>131</v>
      </c>
      <c r="C3" s="50" t="s">
        <v>166</v>
      </c>
      <c r="D3" s="50" t="s">
        <v>165</v>
      </c>
      <c r="E3" s="50" t="s">
        <v>171</v>
      </c>
      <c r="F3" s="50" t="s">
        <v>167</v>
      </c>
      <c r="G3" s="50" t="s">
        <v>223</v>
      </c>
      <c r="H3" s="50" t="s">
        <v>224</v>
      </c>
    </row>
    <row r="4" spans="2:8">
      <c r="B4" t="s">
        <v>175</v>
      </c>
      <c r="C4" s="48">
        <v>23000</v>
      </c>
      <c r="D4" s="45">
        <v>0.22</v>
      </c>
      <c r="E4" s="48">
        <v>12000</v>
      </c>
      <c r="F4" s="48">
        <v>220</v>
      </c>
      <c r="G4" s="48">
        <f t="shared" ref="G4:G9" si="0">C4+E4</f>
        <v>35000</v>
      </c>
      <c r="H4" s="73">
        <f>IF(C4&lt;&gt;0,E4/C4,0)</f>
        <v>0.52173913043478259</v>
      </c>
    </row>
    <row r="5" spans="2:8">
      <c r="B5" t="s">
        <v>176</v>
      </c>
      <c r="C5" s="48">
        <v>10000</v>
      </c>
      <c r="D5" s="45">
        <v>0.19</v>
      </c>
      <c r="E5" s="48">
        <v>2850</v>
      </c>
      <c r="F5" s="48">
        <v>100</v>
      </c>
      <c r="G5" s="48">
        <f t="shared" si="0"/>
        <v>12850</v>
      </c>
      <c r="H5" s="73">
        <f t="shared" ref="H5:H9" si="1">IF(C5&lt;&gt;0,E5/C5,0)</f>
        <v>0.28499999999999998</v>
      </c>
    </row>
    <row r="6" spans="2:8">
      <c r="B6" t="s">
        <v>177</v>
      </c>
      <c r="C6" s="48">
        <v>3000</v>
      </c>
      <c r="D6" s="45">
        <v>0.24</v>
      </c>
      <c r="E6" s="48">
        <v>1240</v>
      </c>
      <c r="F6" s="48">
        <v>10</v>
      </c>
      <c r="G6" s="48">
        <f t="shared" si="0"/>
        <v>4240</v>
      </c>
      <c r="H6" s="73">
        <f t="shared" si="1"/>
        <v>0.41333333333333333</v>
      </c>
    </row>
    <row r="7" spans="2:8">
      <c r="B7" t="s">
        <v>173</v>
      </c>
      <c r="C7" s="48">
        <v>90000</v>
      </c>
      <c r="D7" s="45">
        <v>0.06</v>
      </c>
      <c r="E7" s="48">
        <v>25000</v>
      </c>
      <c r="F7" s="48">
        <v>350</v>
      </c>
      <c r="G7" s="48">
        <f t="shared" si="0"/>
        <v>115000</v>
      </c>
      <c r="H7" s="73">
        <f t="shared" si="1"/>
        <v>0.27777777777777779</v>
      </c>
    </row>
    <row r="8" spans="2:8">
      <c r="B8" t="s">
        <v>174</v>
      </c>
      <c r="C8" s="48">
        <v>10000</v>
      </c>
      <c r="D8" s="45">
        <v>0.05</v>
      </c>
      <c r="E8" s="48">
        <v>2000</v>
      </c>
      <c r="F8" s="48">
        <v>50</v>
      </c>
      <c r="G8" s="48">
        <f t="shared" si="0"/>
        <v>12000</v>
      </c>
      <c r="H8" s="73">
        <f t="shared" si="1"/>
        <v>0.2</v>
      </c>
    </row>
    <row r="9" spans="2:8">
      <c r="B9" t="s">
        <v>286</v>
      </c>
      <c r="C9" s="48">
        <v>18000</v>
      </c>
      <c r="D9" s="45">
        <v>0.16</v>
      </c>
      <c r="E9" s="48">
        <v>2500</v>
      </c>
      <c r="F9" s="48">
        <v>390</v>
      </c>
      <c r="G9" s="48">
        <f t="shared" si="0"/>
        <v>20500</v>
      </c>
      <c r="H9" s="73">
        <f t="shared" si="1"/>
        <v>0.1388888888888889</v>
      </c>
    </row>
    <row r="11" spans="2:8">
      <c r="B11" s="51" t="s">
        <v>170</v>
      </c>
      <c r="C11" s="51" t="s">
        <v>169</v>
      </c>
      <c r="D11" s="51" t="s">
        <v>166</v>
      </c>
      <c r="E11" s="51" t="s">
        <v>180</v>
      </c>
      <c r="F11" s="51" t="s">
        <v>165</v>
      </c>
      <c r="G11" s="51" t="s">
        <v>225</v>
      </c>
      <c r="H11" s="51" t="s">
        <v>223</v>
      </c>
    </row>
    <row r="12" spans="2:8">
      <c r="B12" s="41" t="s">
        <v>182</v>
      </c>
      <c r="C12" s="46">
        <v>900000</v>
      </c>
      <c r="D12" s="49">
        <v>345000</v>
      </c>
      <c r="E12" s="56">
        <f>SUM(D12/C12)</f>
        <v>0.38333333333333336</v>
      </c>
      <c r="F12" s="47">
        <v>2.01E-2</v>
      </c>
      <c r="G12" s="49">
        <v>-1250</v>
      </c>
      <c r="H12" s="49">
        <f ca="1">'🏡 Mortgage Calc'!C26</f>
        <v>306476.76863147784</v>
      </c>
    </row>
    <row r="13" spans="2:8">
      <c r="B13" s="52" t="s">
        <v>181</v>
      </c>
      <c r="C13" s="53">
        <v>375000</v>
      </c>
      <c r="D13" s="54">
        <v>240000</v>
      </c>
      <c r="E13" s="57">
        <f>SUM(D13/C13)</f>
        <v>0.64</v>
      </c>
      <c r="F13" s="55">
        <v>3.4500000000000003E-2</v>
      </c>
      <c r="G13" s="54">
        <v>-780</v>
      </c>
    </row>
    <row r="16" spans="2:8" ht="15" customHeight="1">
      <c r="B16" s="74"/>
      <c r="C16" s="74"/>
      <c r="D16" s="74"/>
    </row>
    <row r="17" spans="2:4">
      <c r="B17" s="74"/>
      <c r="C17" s="74"/>
      <c r="D17" s="74"/>
    </row>
    <row r="18" spans="2:4">
      <c r="B18" s="74"/>
      <c r="C18" s="74"/>
      <c r="D18" s="74"/>
    </row>
    <row r="19" spans="2:4">
      <c r="B19" s="74"/>
      <c r="C19" s="74"/>
      <c r="D19" s="74"/>
    </row>
    <row r="20" spans="2:4">
      <c r="B20" s="74"/>
      <c r="C20" s="74"/>
      <c r="D20" s="74"/>
    </row>
  </sheetData>
  <phoneticPr fontId="5" type="noConversion"/>
  <dataValidations count="1">
    <dataValidation allowBlank="1" showInputMessage="1" showErrorMessage="1" promptTitle="Step 1: Set up Categories" prompt="These categories dictate how your income and expenses are grouped in the reports. Add or remove categories and subcategories as required. Deselect this cell to close this message." sqref="A1" xr:uid="{503AEF4C-A22A-4DF0-A494-8752DE1C03E9}"/>
  </dataValidations>
  <pageMargins left="0.7" right="0.7" top="0.75" bottom="0.75" header="0.3" footer="0.3"/>
  <pageSetup paperSize="9"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FA487-F726-4D0D-AD93-E8A2E677B0F6}">
  <sheetPr>
    <tabColor rgb="FF1A6B52"/>
  </sheetPr>
  <dimension ref="A1:CB302"/>
  <sheetViews>
    <sheetView showGridLines="0" zoomScaleNormal="100" workbookViewId="0"/>
  </sheetViews>
  <sheetFormatPr defaultColWidth="8.7109375" defaultRowHeight="15"/>
  <cols>
    <col min="1" max="1" width="1.5703125" style="130" customWidth="1"/>
    <col min="2" max="2" width="32.140625" style="130" bestFit="1" customWidth="1"/>
    <col min="3" max="3" width="10" style="130" bestFit="1" customWidth="1"/>
    <col min="4" max="4" width="10.5703125" style="130" bestFit="1" customWidth="1"/>
    <col min="5" max="5" width="11.42578125" style="130" bestFit="1" customWidth="1"/>
    <col min="6" max="6" width="11.28515625" style="130" bestFit="1" customWidth="1"/>
    <col min="7" max="7" width="16.140625" style="130" bestFit="1" customWidth="1"/>
    <col min="8" max="10" width="2" style="130" customWidth="1"/>
    <col min="11" max="11" width="3.5703125" style="130" bestFit="1" customWidth="1"/>
    <col min="12" max="12" width="6.140625" style="130" bestFit="1" customWidth="1"/>
    <col min="13" max="13" width="8.7109375" style="130" bestFit="1" customWidth="1"/>
    <col min="14" max="15" width="6.5703125" style="130" bestFit="1" customWidth="1"/>
    <col min="16" max="16" width="7" style="130" bestFit="1" customWidth="1"/>
    <col min="17" max="18" width="8.7109375" style="130" bestFit="1" customWidth="1"/>
    <col min="19" max="19" width="6.5703125" style="130" bestFit="1" customWidth="1"/>
    <col min="20" max="20" width="5.7109375" style="130" bestFit="1" customWidth="1"/>
    <col min="21" max="21" width="7" style="130" bestFit="1" customWidth="1"/>
    <col min="22" max="22" width="8.7109375" style="130" bestFit="1" customWidth="1"/>
    <col min="23" max="23" width="7.85546875" style="130" bestFit="1" customWidth="1"/>
    <col min="24" max="24" width="6.140625" style="130" bestFit="1" customWidth="1"/>
    <col min="25" max="25" width="5.5703125" style="130" bestFit="1" customWidth="1"/>
    <col min="26" max="26" width="7" style="130" bestFit="1" customWidth="1"/>
    <col min="27" max="27" width="7.85546875" style="130" bestFit="1" customWidth="1"/>
    <col min="28" max="28" width="9.5703125" style="130" bestFit="1" customWidth="1"/>
    <col min="29" max="30" width="6.5703125" style="130" bestFit="1" customWidth="1"/>
    <col min="31" max="31" width="7" style="130" bestFit="1" customWidth="1"/>
    <col min="32" max="32" width="9.5703125" style="130" bestFit="1" customWidth="1"/>
    <col min="33" max="33" width="8.7109375" style="130" bestFit="1" customWidth="1"/>
    <col min="34" max="34" width="6.140625" style="130" bestFit="1" customWidth="1"/>
    <col min="35" max="35" width="5.7109375" style="130" bestFit="1" customWidth="1"/>
    <col min="36" max="36" width="7" style="130" bestFit="1" customWidth="1"/>
    <col min="37" max="38" width="8.7109375" style="130" bestFit="1" customWidth="1"/>
    <col min="39" max="40" width="6.5703125" style="130" bestFit="1" customWidth="1"/>
    <col min="41" max="41" width="7" style="130" bestFit="1" customWidth="1"/>
    <col min="42" max="42" width="8.7109375" style="130" bestFit="1" customWidth="1"/>
    <col min="43" max="43" width="7.85546875" style="130" bestFit="1" customWidth="1"/>
    <col min="44" max="44" width="9.5703125" style="130" bestFit="1" customWidth="1"/>
    <col min="45" max="45" width="1.5703125" style="130" customWidth="1"/>
    <col min="46" max="46" width="3.5703125" style="130" bestFit="1" customWidth="1"/>
    <col min="47" max="47" width="6.140625" style="130" bestFit="1" customWidth="1"/>
    <col min="48" max="48" width="8.7109375" style="130" bestFit="1" customWidth="1"/>
    <col min="49" max="50" width="6.5703125" style="130" bestFit="1" customWidth="1"/>
    <col min="51" max="51" width="7" style="130" bestFit="1" customWidth="1"/>
    <col min="52" max="53" width="8.7109375" style="130" bestFit="1" customWidth="1"/>
    <col min="54" max="54" width="6.5703125" style="130" bestFit="1" customWidth="1"/>
    <col min="55" max="55" width="5.7109375" style="130" bestFit="1" customWidth="1"/>
    <col min="56" max="56" width="7" style="130" bestFit="1" customWidth="1"/>
    <col min="57" max="57" width="8.7109375" style="130" bestFit="1" customWidth="1"/>
    <col min="58" max="58" width="7.85546875" style="130" bestFit="1" customWidth="1"/>
    <col min="59" max="59" width="6.140625" style="130" bestFit="1" customWidth="1"/>
    <col min="60" max="60" width="5.5703125" style="130" bestFit="1" customWidth="1"/>
    <col min="61" max="61" width="7" style="130" bestFit="1" customWidth="1"/>
    <col min="62" max="62" width="7.85546875" style="130" bestFit="1" customWidth="1"/>
    <col min="63" max="63" width="9.5703125" style="130" bestFit="1" customWidth="1"/>
    <col min="64" max="65" width="6.5703125" style="130" bestFit="1" customWidth="1"/>
    <col min="66" max="66" width="7" style="130" bestFit="1" customWidth="1"/>
    <col min="67" max="67" width="9.5703125" style="130" bestFit="1" customWidth="1"/>
    <col min="68" max="68" width="8.7109375" style="130" bestFit="1" customWidth="1"/>
    <col min="69" max="69" width="6.140625" style="130" bestFit="1" customWidth="1"/>
    <col min="70" max="70" width="5.5703125" style="130" bestFit="1" customWidth="1"/>
    <col min="71" max="71" width="7" style="130" bestFit="1" customWidth="1"/>
    <col min="72" max="73" width="8.7109375" style="130" bestFit="1" customWidth="1"/>
    <col min="74" max="75" width="6.5703125" style="130" bestFit="1" customWidth="1"/>
    <col min="76" max="76" width="7" style="130" bestFit="1" customWidth="1"/>
    <col min="77" max="77" width="8.7109375" style="130" bestFit="1" customWidth="1"/>
    <col min="78" max="78" width="7.85546875" style="130" bestFit="1" customWidth="1"/>
    <col min="79" max="79" width="9.5703125" style="130" bestFit="1" customWidth="1"/>
    <col min="80" max="80" width="10" style="130" customWidth="1"/>
    <col min="81" max="88" width="11" style="130" customWidth="1"/>
    <col min="89" max="16384" width="8.7109375" style="130"/>
  </cols>
  <sheetData>
    <row r="1" spans="1:43" ht="72.75" customHeight="1">
      <c r="A1" s="204"/>
      <c r="B1" s="204" t="s">
        <v>293</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row>
    <row r="2" spans="1:43">
      <c r="A2" s="166"/>
      <c r="B2" s="174" t="s">
        <v>322</v>
      </c>
      <c r="C2" s="174"/>
      <c r="D2" s="174"/>
      <c r="E2" s="174"/>
      <c r="F2" s="174"/>
      <c r="G2" s="174"/>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row>
    <row r="3" spans="1:43">
      <c r="A3" s="166"/>
      <c r="B3" s="174"/>
      <c r="C3" s="174"/>
      <c r="D3" s="174"/>
      <c r="E3" s="174"/>
      <c r="F3" s="174"/>
      <c r="G3" s="174"/>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row>
    <row r="4" spans="1:43" ht="15.75" customHeight="1">
      <c r="B4" s="164" t="s">
        <v>292</v>
      </c>
      <c r="C4" s="164"/>
      <c r="D4" s="164"/>
      <c r="E4" s="164"/>
      <c r="F4" s="164"/>
      <c r="G4" s="164"/>
    </row>
    <row r="5" spans="1:43" ht="15" customHeight="1">
      <c r="B5" s="179" t="s">
        <v>324</v>
      </c>
      <c r="C5" s="179"/>
      <c r="D5" s="179"/>
      <c r="E5" s="172" t="s">
        <v>323</v>
      </c>
      <c r="F5" s="172"/>
      <c r="G5" s="172"/>
    </row>
    <row r="6" spans="1:43">
      <c r="B6" s="179"/>
      <c r="C6" s="179"/>
      <c r="D6" s="179"/>
      <c r="E6" s="172"/>
      <c r="F6" s="172"/>
      <c r="G6" s="172"/>
    </row>
    <row r="7" spans="1:43" ht="6.75" customHeight="1"/>
    <row r="8" spans="1:43">
      <c r="B8" s="180" t="s">
        <v>316</v>
      </c>
      <c r="C8" s="180"/>
      <c r="D8" s="180"/>
      <c r="E8" s="180"/>
      <c r="F8" s="180"/>
      <c r="G8" s="180"/>
    </row>
    <row r="9" spans="1:43" ht="18.75">
      <c r="B9" s="163" t="s">
        <v>315</v>
      </c>
      <c r="C9" s="203">
        <v>200</v>
      </c>
    </row>
    <row r="11" spans="1:43">
      <c r="B11" s="175" t="s">
        <v>321</v>
      </c>
      <c r="C11" s="175"/>
      <c r="D11" s="175"/>
      <c r="E11" s="175"/>
      <c r="F11" s="175"/>
      <c r="G11" s="175"/>
    </row>
    <row r="12" spans="1:43" ht="36">
      <c r="B12" s="139" t="s">
        <v>187</v>
      </c>
      <c r="C12" s="139" t="s">
        <v>314</v>
      </c>
      <c r="D12" s="139" t="s">
        <v>313</v>
      </c>
      <c r="E12" s="139" t="s">
        <v>312</v>
      </c>
      <c r="F12" s="162" t="s">
        <v>311</v>
      </c>
      <c r="G12" s="161" t="s">
        <v>310</v>
      </c>
    </row>
    <row r="13" spans="1:43">
      <c r="B13" s="138" t="s">
        <v>291</v>
      </c>
      <c r="C13" s="136">
        <f>'🔒 Debts'!G4</f>
        <v>35000</v>
      </c>
      <c r="D13" s="137">
        <f>'🔒 Debts'!D4</f>
        <v>0.22</v>
      </c>
      <c r="E13" s="136">
        <f>'🔒 Debts'!F4</f>
        <v>220</v>
      </c>
      <c r="F13" s="160">
        <v>5</v>
      </c>
      <c r="G13" s="159">
        <v>2</v>
      </c>
    </row>
    <row r="14" spans="1:43">
      <c r="B14" s="135" t="s">
        <v>290</v>
      </c>
      <c r="C14" s="136">
        <f>'🔒 Debts'!G5</f>
        <v>12850</v>
      </c>
      <c r="D14" s="137">
        <f>'🔒 Debts'!D5</f>
        <v>0.19</v>
      </c>
      <c r="E14" s="136">
        <f>'🔒 Debts'!F5</f>
        <v>100</v>
      </c>
      <c r="F14" s="160">
        <v>3</v>
      </c>
      <c r="G14" s="159">
        <v>3</v>
      </c>
    </row>
    <row r="15" spans="1:43">
      <c r="B15" s="138" t="s">
        <v>289</v>
      </c>
      <c r="C15" s="136">
        <f>'🔒 Debts'!G6</f>
        <v>4240</v>
      </c>
      <c r="D15" s="137">
        <f>'🔒 Debts'!D6</f>
        <v>0.24</v>
      </c>
      <c r="E15" s="136">
        <f>'🔒 Debts'!F6</f>
        <v>10</v>
      </c>
      <c r="F15" s="160">
        <v>1</v>
      </c>
      <c r="G15" s="159">
        <v>1</v>
      </c>
    </row>
    <row r="16" spans="1:43">
      <c r="B16" s="135" t="s">
        <v>288</v>
      </c>
      <c r="C16" s="136">
        <f>'🔒 Debts'!G7</f>
        <v>115000</v>
      </c>
      <c r="D16" s="137">
        <f>'🔒 Debts'!D7</f>
        <v>0.06</v>
      </c>
      <c r="E16" s="136">
        <f>'🔒 Debts'!F7</f>
        <v>350</v>
      </c>
      <c r="F16" s="160">
        <v>6</v>
      </c>
      <c r="G16" s="159">
        <v>5</v>
      </c>
    </row>
    <row r="17" spans="2:7">
      <c r="B17" s="138" t="s">
        <v>287</v>
      </c>
      <c r="C17" s="136">
        <f>'🔒 Debts'!G8</f>
        <v>12000</v>
      </c>
      <c r="D17" s="137">
        <f>'🔒 Debts'!D8</f>
        <v>0.05</v>
      </c>
      <c r="E17" s="136">
        <f>'🔒 Debts'!F8</f>
        <v>50</v>
      </c>
      <c r="F17" s="160">
        <v>2</v>
      </c>
      <c r="G17" s="159">
        <v>6</v>
      </c>
    </row>
    <row r="18" spans="2:7">
      <c r="B18" s="135" t="s">
        <v>286</v>
      </c>
      <c r="C18" s="136">
        <f>'🔒 Debts'!G9</f>
        <v>20500</v>
      </c>
      <c r="D18" s="137">
        <f>'🔒 Debts'!D9</f>
        <v>0.16</v>
      </c>
      <c r="E18" s="136">
        <f>'🔒 Debts'!F9</f>
        <v>390</v>
      </c>
      <c r="F18" s="160">
        <v>4</v>
      </c>
      <c r="G18" s="159">
        <v>4</v>
      </c>
    </row>
    <row r="19" spans="2:7">
      <c r="B19" s="134" t="s">
        <v>285</v>
      </c>
      <c r="C19" s="158">
        <f>SUM(C13:C18)</f>
        <v>199590</v>
      </c>
      <c r="D19" s="156"/>
      <c r="E19" s="158">
        <f>SUM(E13:E18)</f>
        <v>1120</v>
      </c>
    </row>
    <row r="21" spans="2:7">
      <c r="B21" s="173" t="s">
        <v>309</v>
      </c>
      <c r="C21" s="173"/>
      <c r="D21" s="173"/>
      <c r="E21" s="173"/>
      <c r="F21" s="173"/>
      <c r="G21" s="173"/>
    </row>
    <row r="22" spans="2:7">
      <c r="B22" s="173"/>
      <c r="C22" s="173"/>
      <c r="D22" s="173"/>
      <c r="E22" s="173"/>
      <c r="F22" s="173"/>
      <c r="G22" s="173"/>
    </row>
    <row r="23" spans="2:7">
      <c r="B23" s="176" t="s">
        <v>284</v>
      </c>
      <c r="C23" s="176"/>
      <c r="D23" s="176"/>
      <c r="E23" s="176"/>
      <c r="F23" s="176"/>
      <c r="G23" s="176"/>
    </row>
    <row r="24" spans="2:7">
      <c r="B24" s="177" t="s">
        <v>186</v>
      </c>
      <c r="C24" s="177"/>
      <c r="D24" s="177"/>
      <c r="E24" s="178" t="s">
        <v>283</v>
      </c>
      <c r="F24" s="178"/>
      <c r="G24" s="146" t="s">
        <v>282</v>
      </c>
    </row>
    <row r="25" spans="2:7">
      <c r="B25" s="181" t="s">
        <v>185</v>
      </c>
      <c r="C25" s="181"/>
      <c r="D25" s="181"/>
      <c r="E25" s="182">
        <f>C19</f>
        <v>199590</v>
      </c>
      <c r="F25" s="182"/>
      <c r="G25" s="142">
        <f>C19</f>
        <v>199590</v>
      </c>
    </row>
    <row r="26" spans="2:7">
      <c r="B26" s="183" t="s">
        <v>319</v>
      </c>
      <c r="C26" s="183"/>
      <c r="D26" s="183"/>
      <c r="E26" s="182">
        <f>E19</f>
        <v>1120</v>
      </c>
      <c r="F26" s="182"/>
      <c r="G26" s="142">
        <f>E19</f>
        <v>1120</v>
      </c>
    </row>
    <row r="27" spans="2:7">
      <c r="B27" s="181" t="s">
        <v>318</v>
      </c>
      <c r="C27" s="181"/>
      <c r="D27" s="181"/>
      <c r="E27" s="182">
        <f>$C$9</f>
        <v>200</v>
      </c>
      <c r="F27" s="182"/>
      <c r="G27" s="142">
        <f>$C$9</f>
        <v>200</v>
      </c>
    </row>
    <row r="28" spans="2:7">
      <c r="B28" s="183" t="s">
        <v>281</v>
      </c>
      <c r="C28" s="183"/>
      <c r="D28" s="183"/>
      <c r="E28" s="182">
        <f>E19+$C$9</f>
        <v>1320</v>
      </c>
      <c r="F28" s="182"/>
      <c r="G28" s="142">
        <f>E19+$C$9</f>
        <v>1320</v>
      </c>
    </row>
    <row r="29" spans="2:7">
      <c r="E29" s="143"/>
      <c r="F29" s="143"/>
      <c r="G29" s="143"/>
    </row>
    <row r="30" spans="2:7">
      <c r="B30" s="183" t="s">
        <v>280</v>
      </c>
      <c r="C30" s="183"/>
      <c r="D30" s="183"/>
      <c r="E30" s="182">
        <f>ROUND(SUM(N53:N302)+SUM(S53:S302)+SUM(X53:X302)+SUM(AC53:AC302)+SUM(AH53:AH302)+SUM(AM53:AM302),2)</f>
        <v>237861.79</v>
      </c>
      <c r="F30" s="182"/>
      <c r="G30" s="142">
        <f>ROUND(SUM(AW53:AW302)+SUM(BB53:BB302)+SUM(BG53:BG302)+SUM(BL53:BL302)+SUM(BQ53:BQ302)+SUM(BV53:BV302),2)</f>
        <v>226675.26</v>
      </c>
    </row>
    <row r="31" spans="2:7">
      <c r="B31" s="181" t="s">
        <v>308</v>
      </c>
      <c r="C31" s="181"/>
      <c r="D31" s="181"/>
      <c r="E31" s="182">
        <f>C25+E30</f>
        <v>237861.79</v>
      </c>
      <c r="F31" s="182"/>
      <c r="G31" s="142">
        <f>C25+G30</f>
        <v>226675.26</v>
      </c>
    </row>
    <row r="32" spans="2:7">
      <c r="B32" s="183" t="s">
        <v>279</v>
      </c>
      <c r="C32" s="183"/>
      <c r="D32" s="183"/>
      <c r="E32" s="184">
        <f>IFERROR(MAX(K53:K302),0)</f>
        <v>250</v>
      </c>
      <c r="F32" s="184"/>
      <c r="G32" s="144">
        <f>IFERROR(MAX(AT53:AT302),0)</f>
        <v>250</v>
      </c>
    </row>
    <row r="33" spans="2:80">
      <c r="B33" s="181" t="s">
        <v>307</v>
      </c>
      <c r="C33" s="181"/>
      <c r="D33" s="181"/>
      <c r="E33" s="185" t="str">
        <f>IFERROR(INT(E32/12)&amp;" yrs "&amp;MOD(E32,12)&amp;" mths","—")</f>
        <v>20 yrs 10 mths</v>
      </c>
      <c r="F33" s="185"/>
      <c r="G33" s="145" t="str">
        <f>IFERROR(INT(G32/12)&amp;" yrs "&amp;MOD(G32,12)&amp;" mths","—")</f>
        <v>20 yrs 10 mths</v>
      </c>
    </row>
    <row r="34" spans="2:80">
      <c r="E34" s="143"/>
      <c r="F34" s="143"/>
      <c r="G34" s="143"/>
    </row>
    <row r="35" spans="2:80">
      <c r="B35" s="181" t="s">
        <v>306</v>
      </c>
      <c r="C35" s="181"/>
      <c r="D35" s="181"/>
      <c r="E35" s="182">
        <f>ROUND(IFERROR(MAX(0,ABS($E$13*NPER($D$13/12,-$E$13,$C$13))-$C$13),0)+IFERROR(MAX(0,ABS($E$14*NPER($D$14/12,-$E$14,$C$14))-$C$14),0)+IFERROR(MAX(0,ABS($E$15*NPER($D$15/12,-$E$15,$C$15))-$C$15),0)+IFERROR(MAX(0,ABS($E$16*NPER($D$16/12,-$E$16,$C$16))-$C$16),0)+IFERROR(MAX(0,ABS($E$17*NPER($D$17/12,-$E$17,$C$17))-$C$17),0)+IFERROR(MAX(0,ABS($E$18*NPER($D$18/12,-$E$18,$C$18))-$C$18),0),0)</f>
        <v>15034</v>
      </c>
      <c r="F35" s="182"/>
      <c r="G35" s="142">
        <f>ROUND(IFERROR(MAX(0,ABS($E$13*NPER($D$13/12,-$E$13,$C$13))-$C$13),0)+IFERROR(MAX(0,ABS($E$14*NPER($D$14/12,-$E$14,$C$14))-$C$14),0)+IFERROR(MAX(0,ABS($E$15*NPER($D$15/12,-$E$15,$C$15))-$C$15),0)+IFERROR(MAX(0,ABS($E$16*NPER($D$16/12,-$E$16,$C$16))-$C$16),0)+IFERROR(MAX(0,ABS($E$17*NPER($D$17/12,-$E$17,$C$17))-$C$17),0)+IFERROR(MAX(0,ABS($E$18*NPER($D$18/12,-$E$18,$C$18))-$C$18),0),0)</f>
        <v>15034</v>
      </c>
    </row>
    <row r="36" spans="2:80">
      <c r="B36" s="183" t="s">
        <v>317</v>
      </c>
      <c r="C36" s="183"/>
      <c r="D36" s="183"/>
      <c r="E36" s="184">
        <f>IFERROR(ROUND(MAX(IFERROR(NPER($D$13/12,-$E$13,$C$13),0),IFERROR(NPER($D$14/12,-$E$14,$C$14),0),IFERROR(NPER($D$15/12,-$E$15,$C$15),0),IFERROR(NPER($D$16/12,-$E$16,$C$16),0),IFERROR(NPER($D$17/12,-$E$17,$C$17),0),IFERROR(NPER($D$18/12,-$E$18,$C$18),0)),0),0)</f>
        <v>91</v>
      </c>
      <c r="F36" s="184"/>
      <c r="G36" s="144">
        <f>IFERROR(ROUND(MAX(IFERROR(NPER($D$13/12,-$E$13,$C$13),0),IFERROR(NPER($D$14/12,-$E$14,$C$14),0),IFERROR(NPER($D$15/12,-$E$15,$C$15),0),IFERROR(NPER($D$16/12,-$E$16,$C$16),0),IFERROR(NPER($D$17/12,-$E$17,$C$17),0),IFERROR(NPER($D$18/12,-$E$18,$C$18),0)),0),0)</f>
        <v>91</v>
      </c>
    </row>
    <row r="37" spans="2:80">
      <c r="E37" s="143"/>
      <c r="F37" s="143"/>
      <c r="G37" s="143"/>
    </row>
    <row r="38" spans="2:80">
      <c r="B38" s="183" t="s">
        <v>305</v>
      </c>
      <c r="C38" s="183"/>
      <c r="D38" s="183"/>
      <c r="E38" s="182">
        <f>MAX(0,E35-E30)</f>
        <v>0</v>
      </c>
      <c r="F38" s="182"/>
      <c r="G38" s="142">
        <f>MAX(0,G35-G30)</f>
        <v>0</v>
      </c>
    </row>
    <row r="39" spans="2:80">
      <c r="B39" s="181" t="s">
        <v>304</v>
      </c>
      <c r="C39" s="181"/>
      <c r="D39" s="181"/>
      <c r="E39" s="185" t="str">
        <f>IFERROR(INT(MAX(0,E36-E32)/12)&amp;" yrs "&amp;MOD(MAX(0,E36-E32),12)&amp;" mths","—")</f>
        <v>0 yrs 0 mths</v>
      </c>
      <c r="F39" s="185"/>
      <c r="G39" s="145" t="str">
        <f>IFERROR(INT(MAX(0,G36-G32)/12)&amp;" yrs "&amp;MOD(MAX(0,G36-G32),12)&amp;" mths","—")</f>
        <v>0 yrs 0 mths</v>
      </c>
    </row>
    <row r="40" spans="2:80">
      <c r="E40" s="143"/>
      <c r="F40" s="143"/>
      <c r="G40" s="143"/>
    </row>
    <row r="41" spans="2:80">
      <c r="B41" s="181" t="s">
        <v>320</v>
      </c>
      <c r="C41" s="181"/>
      <c r="D41" s="181"/>
      <c r="E41" s="185" t="str">
        <f>IFERROR(IF(E30&gt;G30,"🔥 saves £"&amp;TEXT(E30-G30,"#,##0"),"Equal"),"—")</f>
        <v>🔥 saves £11,187</v>
      </c>
      <c r="F41" s="185"/>
      <c r="G41" s="145" t="str">
        <f>IFERROR(IF(G30&lt;E30,"🔥 saves £"&amp;TEXT(E30-G30,"#,##0"),"Equal"),"—")</f>
        <v>🔥 saves £11,187</v>
      </c>
    </row>
    <row r="43" spans="2:80">
      <c r="B43" s="173" t="s">
        <v>303</v>
      </c>
      <c r="C43" s="173"/>
      <c r="D43" s="173"/>
      <c r="E43" s="173"/>
      <c r="F43" s="173"/>
      <c r="G43" s="173"/>
    </row>
    <row r="44" spans="2:80">
      <c r="B44" s="173"/>
      <c r="C44" s="173"/>
      <c r="D44" s="173"/>
      <c r="E44" s="173"/>
      <c r="F44" s="173"/>
      <c r="G44" s="173"/>
    </row>
    <row r="45" spans="2:80">
      <c r="B45" s="187" t="s">
        <v>302</v>
      </c>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row>
    <row r="46" spans="2:80">
      <c r="B46" s="188" t="s">
        <v>301</v>
      </c>
      <c r="C46" s="188"/>
      <c r="D46" s="188"/>
      <c r="E46" s="188"/>
      <c r="F46" s="188"/>
      <c r="G46" s="188"/>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row>
    <row r="47" spans="2:80">
      <c r="B47" s="188"/>
      <c r="C47" s="188"/>
      <c r="D47" s="188"/>
      <c r="E47" s="188"/>
      <c r="F47" s="188"/>
      <c r="G47" s="188"/>
    </row>
    <row r="48" spans="2:80">
      <c r="K48" s="175" t="s">
        <v>300</v>
      </c>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57"/>
      <c r="AT48" s="189" t="s">
        <v>299</v>
      </c>
      <c r="AU48" s="189"/>
      <c r="AV48" s="189"/>
      <c r="AW48" s="189"/>
      <c r="AX48" s="189"/>
      <c r="AY48" s="189"/>
      <c r="AZ48" s="189"/>
      <c r="BA48" s="189"/>
      <c r="BB48" s="189"/>
      <c r="BC48" s="189"/>
      <c r="BD48" s="189"/>
      <c r="BE48" s="189"/>
      <c r="BF48" s="189"/>
      <c r="BG48" s="189"/>
      <c r="BH48" s="189"/>
      <c r="BI48" s="189"/>
      <c r="BJ48" s="189"/>
      <c r="BK48" s="189"/>
      <c r="BL48" s="189"/>
      <c r="BM48" s="189"/>
      <c r="BN48" s="189"/>
      <c r="BO48" s="189"/>
      <c r="BP48" s="189"/>
      <c r="BQ48" s="189"/>
      <c r="BR48" s="189"/>
      <c r="BS48" s="189"/>
      <c r="BT48" s="189"/>
      <c r="BU48" s="189"/>
      <c r="BV48" s="189"/>
      <c r="BW48" s="189"/>
      <c r="BX48" s="189"/>
      <c r="BY48" s="189"/>
      <c r="BZ48" s="189"/>
      <c r="CA48" s="189"/>
      <c r="CB48" s="189"/>
    </row>
    <row r="49" spans="11:79">
      <c r="K49" s="156"/>
      <c r="L49" s="156"/>
      <c r="M49" s="190" t="str">
        <f>B13</f>
        <v>💳  Credit Card 1</v>
      </c>
      <c r="N49" s="190"/>
      <c r="O49" s="190"/>
      <c r="P49" s="190"/>
      <c r="Q49" s="190"/>
      <c r="R49" s="190" t="str">
        <f>B14</f>
        <v>💳  Credit Card 2</v>
      </c>
      <c r="S49" s="190"/>
      <c r="T49" s="190"/>
      <c r="U49" s="190"/>
      <c r="V49" s="190"/>
      <c r="W49" s="190" t="str">
        <f>B15</f>
        <v>💳  Credit Card 3</v>
      </c>
      <c r="X49" s="190"/>
      <c r="Y49" s="190"/>
      <c r="Z49" s="190"/>
      <c r="AA49" s="190"/>
      <c r="AB49" s="190" t="str">
        <f>B16</f>
        <v>👮  Personal Loan 1</v>
      </c>
      <c r="AC49" s="190"/>
      <c r="AD49" s="190"/>
      <c r="AE49" s="190"/>
      <c r="AF49" s="190"/>
      <c r="AG49" s="190" t="str">
        <f>B17</f>
        <v>👮  Personal Loan 2</v>
      </c>
      <c r="AH49" s="190"/>
      <c r="AI49" s="190"/>
      <c r="AJ49" s="190"/>
      <c r="AK49" s="190"/>
      <c r="AL49" s="190" t="str">
        <f>B18</f>
        <v>🚗  Car Finance</v>
      </c>
      <c r="AM49" s="190"/>
      <c r="AN49" s="190"/>
      <c r="AO49" s="190"/>
      <c r="AP49" s="190"/>
      <c r="AT49" s="155"/>
      <c r="AU49" s="155"/>
      <c r="AV49" s="186" t="str">
        <f>B13</f>
        <v>💳  Credit Card 1</v>
      </c>
      <c r="AW49" s="186"/>
      <c r="AX49" s="186"/>
      <c r="AY49" s="186"/>
      <c r="AZ49" s="186"/>
      <c r="BA49" s="186" t="str">
        <f>B14</f>
        <v>💳  Credit Card 2</v>
      </c>
      <c r="BB49" s="186"/>
      <c r="BC49" s="186"/>
      <c r="BD49" s="186"/>
      <c r="BE49" s="186"/>
      <c r="BF49" s="186" t="str">
        <f>B15</f>
        <v>💳  Credit Card 3</v>
      </c>
      <c r="BG49" s="186"/>
      <c r="BH49" s="186"/>
      <c r="BI49" s="186"/>
      <c r="BJ49" s="186"/>
      <c r="BK49" s="186" t="str">
        <f>B16</f>
        <v>👮  Personal Loan 1</v>
      </c>
      <c r="BL49" s="186"/>
      <c r="BM49" s="186"/>
      <c r="BN49" s="186"/>
      <c r="BO49" s="186"/>
      <c r="BP49" s="186" t="str">
        <f>B17</f>
        <v>👮  Personal Loan 2</v>
      </c>
      <c r="BQ49" s="186"/>
      <c r="BR49" s="186"/>
      <c r="BS49" s="186"/>
      <c r="BT49" s="186"/>
      <c r="BU49" s="186" t="str">
        <f>B18</f>
        <v>🚗  Car Finance</v>
      </c>
      <c r="BV49" s="186"/>
      <c r="BW49" s="186"/>
      <c r="BX49" s="186"/>
      <c r="BY49" s="186"/>
    </row>
    <row r="50" spans="11:79">
      <c r="K50" s="154" t="s">
        <v>278</v>
      </c>
      <c r="L50" s="154" t="s">
        <v>6</v>
      </c>
      <c r="M50" s="154" t="s">
        <v>298</v>
      </c>
      <c r="N50" s="154" t="s">
        <v>38</v>
      </c>
      <c r="O50" s="154" t="s">
        <v>277</v>
      </c>
      <c r="P50" s="154" t="s">
        <v>297</v>
      </c>
      <c r="Q50" s="154" t="s">
        <v>296</v>
      </c>
      <c r="R50" s="154" t="s">
        <v>298</v>
      </c>
      <c r="S50" s="154" t="s">
        <v>38</v>
      </c>
      <c r="T50" s="154" t="s">
        <v>277</v>
      </c>
      <c r="U50" s="154" t="s">
        <v>297</v>
      </c>
      <c r="V50" s="154" t="s">
        <v>296</v>
      </c>
      <c r="W50" s="154" t="s">
        <v>298</v>
      </c>
      <c r="X50" s="154" t="s">
        <v>38</v>
      </c>
      <c r="Y50" s="154" t="s">
        <v>277</v>
      </c>
      <c r="Z50" s="154" t="s">
        <v>297</v>
      </c>
      <c r="AA50" s="154" t="s">
        <v>296</v>
      </c>
      <c r="AB50" s="154" t="s">
        <v>298</v>
      </c>
      <c r="AC50" s="154" t="s">
        <v>38</v>
      </c>
      <c r="AD50" s="154" t="s">
        <v>277</v>
      </c>
      <c r="AE50" s="154" t="s">
        <v>297</v>
      </c>
      <c r="AF50" s="154" t="s">
        <v>296</v>
      </c>
      <c r="AG50" s="154" t="s">
        <v>298</v>
      </c>
      <c r="AH50" s="154" t="s">
        <v>38</v>
      </c>
      <c r="AI50" s="154" t="s">
        <v>277</v>
      </c>
      <c r="AJ50" s="154" t="s">
        <v>297</v>
      </c>
      <c r="AK50" s="154" t="s">
        <v>296</v>
      </c>
      <c r="AL50" s="154" t="s">
        <v>298</v>
      </c>
      <c r="AM50" s="154" t="s">
        <v>38</v>
      </c>
      <c r="AN50" s="154" t="s">
        <v>277</v>
      </c>
      <c r="AO50" s="154" t="s">
        <v>297</v>
      </c>
      <c r="AP50" s="154" t="s">
        <v>296</v>
      </c>
      <c r="AQ50" s="154" t="s">
        <v>295</v>
      </c>
      <c r="AR50" s="154" t="s">
        <v>294</v>
      </c>
      <c r="AT50" s="153" t="s">
        <v>278</v>
      </c>
      <c r="AU50" s="153" t="s">
        <v>6</v>
      </c>
      <c r="AV50" s="153" t="s">
        <v>298</v>
      </c>
      <c r="AW50" s="153" t="s">
        <v>38</v>
      </c>
      <c r="AX50" s="153" t="s">
        <v>277</v>
      </c>
      <c r="AY50" s="153" t="s">
        <v>297</v>
      </c>
      <c r="AZ50" s="153" t="s">
        <v>296</v>
      </c>
      <c r="BA50" s="153" t="s">
        <v>298</v>
      </c>
      <c r="BB50" s="153" t="s">
        <v>38</v>
      </c>
      <c r="BC50" s="153" t="s">
        <v>277</v>
      </c>
      <c r="BD50" s="153" t="s">
        <v>297</v>
      </c>
      <c r="BE50" s="153" t="s">
        <v>296</v>
      </c>
      <c r="BF50" s="153" t="s">
        <v>298</v>
      </c>
      <c r="BG50" s="153" t="s">
        <v>38</v>
      </c>
      <c r="BH50" s="153" t="s">
        <v>277</v>
      </c>
      <c r="BI50" s="153" t="s">
        <v>297</v>
      </c>
      <c r="BJ50" s="153" t="s">
        <v>296</v>
      </c>
      <c r="BK50" s="153" t="s">
        <v>298</v>
      </c>
      <c r="BL50" s="153" t="s">
        <v>38</v>
      </c>
      <c r="BM50" s="153" t="s">
        <v>277</v>
      </c>
      <c r="BN50" s="153" t="s">
        <v>297</v>
      </c>
      <c r="BO50" s="153" t="s">
        <v>296</v>
      </c>
      <c r="BP50" s="153" t="s">
        <v>298</v>
      </c>
      <c r="BQ50" s="153" t="s">
        <v>38</v>
      </c>
      <c r="BR50" s="153" t="s">
        <v>277</v>
      </c>
      <c r="BS50" s="153" t="s">
        <v>297</v>
      </c>
      <c r="BT50" s="153" t="s">
        <v>296</v>
      </c>
      <c r="BU50" s="153" t="s">
        <v>298</v>
      </c>
      <c r="BV50" s="153" t="s">
        <v>38</v>
      </c>
      <c r="BW50" s="153" t="s">
        <v>277</v>
      </c>
      <c r="BX50" s="153" t="s">
        <v>297</v>
      </c>
      <c r="BY50" s="153" t="s">
        <v>296</v>
      </c>
      <c r="BZ50" s="153" t="s">
        <v>295</v>
      </c>
      <c r="CA50" s="153" t="s">
        <v>294</v>
      </c>
    </row>
    <row r="53" spans="11:79">
      <c r="K53" s="152">
        <f>1</f>
        <v>1</v>
      </c>
      <c r="L53" s="151">
        <f t="shared" ref="L53:L116" si="0">IF(K53="","",EOMONTH(DATE(2025,1,1),K53-1))</f>
        <v>45688</v>
      </c>
      <c r="M53" s="150">
        <f>IF($C$13&gt;0,$C$13,0)</f>
        <v>35000</v>
      </c>
      <c r="N53" s="150">
        <f t="shared" ref="N53:N116" si="1">IF(M53&lt;=0.01,0,ROUND(M53*$D$13/12,2))</f>
        <v>641.66999999999996</v>
      </c>
      <c r="O53" s="150">
        <f t="shared" ref="O53:O116" si="2">IF(M53&lt;=0.01,0,MAX(0,MIN(M53,MAX(0,$E$13-N53))))</f>
        <v>0</v>
      </c>
      <c r="P53" s="150">
        <f t="shared" ref="P53:P116" si="3">IF(M53&lt;=0.01,0,IF(($F$13=MIN(IF(M53&gt;0.01,$F$13,999),IF(R53&gt;0.01,$F$14,999),IF(W53&gt;0.01,$F$15,999),IF(AB53&gt;0.01,$F$16,999),IF(AG53&gt;0.01,$F$17,999),IF(AL53&gt;0.01,$F$18,999))),MIN(MAX(0,M53-O53),AQ53),0))</f>
        <v>0</v>
      </c>
      <c r="Q53" s="150">
        <f t="shared" ref="Q53:Q116" si="4">MAX(0,ROUND(M53-O53-P53,2))</f>
        <v>35000</v>
      </c>
      <c r="R53" s="150">
        <f>IF($C$14&gt;0,$C$14,0)</f>
        <v>12850</v>
      </c>
      <c r="S53" s="150">
        <f t="shared" ref="S53:S116" si="5">IF(R53&lt;=0.01,0,ROUND(R53*$D$14/12,2))</f>
        <v>203.46</v>
      </c>
      <c r="T53" s="150">
        <f t="shared" ref="T53:T116" si="6">IF(R53&lt;=0.01,0,MAX(0,MIN(R53,MAX(0,$E$14-S53))))</f>
        <v>0</v>
      </c>
      <c r="U53" s="150">
        <f t="shared" ref="U53:U116" si="7">IF(R53&lt;=0.01,0,IF(($F$14=MIN(IF(M53&gt;0.01,$F$13,999),IF(R53&gt;0.01,$F$14,999),IF(W53&gt;0.01,$F$15,999),IF(AB53&gt;0.01,$F$16,999),IF(AG53&gt;0.01,$F$17,999),IF(AL53&gt;0.01,$F$18,999))),MIN(MAX(0,R53-T53),AQ53),0))</f>
        <v>0</v>
      </c>
      <c r="V53" s="150">
        <f t="shared" ref="V53:V116" si="8">MAX(0,ROUND(R53-T53-U53,2))</f>
        <v>12850</v>
      </c>
      <c r="W53" s="150">
        <f>IF($C$15&gt;0,$C$15,0)</f>
        <v>4240</v>
      </c>
      <c r="X53" s="150">
        <f t="shared" ref="X53:X116" si="9">IF(W53&lt;=0.01,0,ROUND(W53*$D$15/12,2))</f>
        <v>84.8</v>
      </c>
      <c r="Y53" s="150">
        <f t="shared" ref="Y53:Y116" si="10">IF(W53&lt;=0.01,0,MAX(0,MIN(W53,MAX(0,$E$15-X53))))</f>
        <v>0</v>
      </c>
      <c r="Z53" s="150">
        <f t="shared" ref="Z53:Z116" si="11">IF(W53&lt;=0.01,0,IF(($F$15=MIN(IF(M53&gt;0.01,$F$13,999),IF(R53&gt;0.01,$F$14,999),IF(W53&gt;0.01,$F$15,999),IF(AB53&gt;0.01,$F$16,999),IF(AG53&gt;0.01,$F$17,999),IF(AL53&gt;0.01,$F$18,999))),MIN(MAX(0,W53-Y53),AQ53),0))</f>
        <v>200</v>
      </c>
      <c r="AA53" s="150">
        <f t="shared" ref="AA53:AA116" si="12">MAX(0,ROUND(W53-Y53-Z53,2))</f>
        <v>4040</v>
      </c>
      <c r="AB53" s="150">
        <f>IF($C$16&gt;0,$C$16,0)</f>
        <v>115000</v>
      </c>
      <c r="AC53" s="150">
        <f t="shared" ref="AC53:AC116" si="13">IF(AB53&lt;=0.01,0,ROUND(AB53*$D$16/12,2))</f>
        <v>575</v>
      </c>
      <c r="AD53" s="150">
        <f t="shared" ref="AD53:AD116" si="14">IF(AB53&lt;=0.01,0,MAX(0,MIN(AB53,MAX(0,$E$16-AC53))))</f>
        <v>0</v>
      </c>
      <c r="AE53" s="150">
        <f t="shared" ref="AE53:AE116" si="15">IF(AB53&lt;=0.01,0,IF(($F$16=MIN(IF(M53&gt;0.01,$F$13,999),IF(R53&gt;0.01,$F$14,999),IF(W53&gt;0.01,$F$15,999),IF(AB53&gt;0.01,$F$16,999),IF(AG53&gt;0.01,$F$17,999),IF(AL53&gt;0.01,$F$18,999))),MIN(MAX(0,AB53-AD53),AQ53),0))</f>
        <v>0</v>
      </c>
      <c r="AF53" s="150">
        <f t="shared" ref="AF53:AF116" si="16">MAX(0,ROUND(AB53-AD53-AE53,2))</f>
        <v>115000</v>
      </c>
      <c r="AG53" s="150">
        <f>IF($C$17&gt;0,$C$17,0)</f>
        <v>12000</v>
      </c>
      <c r="AH53" s="150">
        <f t="shared" ref="AH53:AH116" si="17">IF(AG53&lt;=0.01,0,ROUND(AG53*$D$17/12,2))</f>
        <v>50</v>
      </c>
      <c r="AI53" s="150">
        <f t="shared" ref="AI53:AI116" si="18">IF(AG53&lt;=0.01,0,MAX(0,MIN(AG53,MAX(0,$E$17-AH53))))</f>
        <v>0</v>
      </c>
      <c r="AJ53" s="150">
        <f t="shared" ref="AJ53:AJ116" si="19">IF(AG53&lt;=0.01,0,IF(($F$17=MIN(IF(M53&gt;0.01,$F$13,999),IF(R53&gt;0.01,$F$14,999),IF(W53&gt;0.01,$F$15,999),IF(AB53&gt;0.01,$F$16,999),IF(AG53&gt;0.01,$F$17,999),IF(AL53&gt;0.01,$F$18,999))),MIN(MAX(0,AG53-AI53),AQ53),0))</f>
        <v>0</v>
      </c>
      <c r="AK53" s="150">
        <f t="shared" ref="AK53:AK116" si="20">MAX(0,ROUND(AG53-AI53-AJ53,2))</f>
        <v>12000</v>
      </c>
      <c r="AL53" s="150">
        <f>IF($C$18&gt;0,$C$18,0)</f>
        <v>20500</v>
      </c>
      <c r="AM53" s="150">
        <f t="shared" ref="AM53:AM116" si="21">IF(AL53&lt;=0.01,0,ROUND(AL53*$D$18/12,2))</f>
        <v>273.33</v>
      </c>
      <c r="AN53" s="150">
        <f t="shared" ref="AN53:AN116" si="22">IF(AL53&lt;=0.01,0,MAX(0,MIN(AL53,MAX(0,$E$18-AM53))))</f>
        <v>116.67000000000002</v>
      </c>
      <c r="AO53" s="150">
        <f t="shared" ref="AO53:AO116" si="23">IF(AL53&lt;=0.01,0,IF(($F$18=MIN(IF(M53&gt;0.01,$F$13,999),IF(R53&gt;0.01,$F$14,999),IF(W53&gt;0.01,$F$15,999),IF(AB53&gt;0.01,$F$16,999),IF(AG53&gt;0.01,$F$17,999),IF(AL53&gt;0.01,$F$18,999))),MIN(MAX(0,AL53-AN53),AQ53),0))</f>
        <v>0</v>
      </c>
      <c r="AP53" s="150">
        <f t="shared" ref="AP53:AP116" si="24">MAX(0,ROUND(AL53-AN53-AO53,2))</f>
        <v>20383.330000000002</v>
      </c>
      <c r="AQ53" s="149">
        <f>IF(K53="","",$C$9+0)</f>
        <v>200</v>
      </c>
      <c r="AR53" s="149">
        <f>ROUND(N53+S53+X53+AC53+AH53+AM53,2)</f>
        <v>1828.26</v>
      </c>
      <c r="AS53" s="133"/>
      <c r="AT53" s="152">
        <f>1</f>
        <v>1</v>
      </c>
      <c r="AU53" s="151">
        <f t="shared" ref="AU53:AU116" si="25">IF(AT53="","",EOMONTH(DATE(2025,1,1),AT53-1))</f>
        <v>45688</v>
      </c>
      <c r="AV53" s="150">
        <f>IF($C$13&gt;0,$C$13,0)</f>
        <v>35000</v>
      </c>
      <c r="AW53" s="150">
        <f t="shared" ref="AW53:AW116" si="26">IF(AV53&lt;=0.01,0,ROUND(AV53*$D$13/12,2))</f>
        <v>641.66999999999996</v>
      </c>
      <c r="AX53" s="150">
        <f t="shared" ref="AX53:AX116" si="27">IF(AV53&lt;=0.01,0,MAX(0,MIN(AV53,MAX(0,$E$13-AW53))))</f>
        <v>0</v>
      </c>
      <c r="AY53" s="150">
        <f t="shared" ref="AY53:AY116" si="28">IF(AV53&lt;=0.01,0,IF(($G$13=MIN(IF(AV53&gt;0.01,$G$13,999),IF(BA53&gt;0.01,$G$14,999),IF(BF53&gt;0.01,$G$15,999),IF(BK53&gt;0.01,$G$16,999),IF(BP53&gt;0.01,$G$17,999),IF(BU53&gt;0.01,$G$18,999))),MIN(MAX(0,AV53-AX53),BZ53),0))</f>
        <v>0</v>
      </c>
      <c r="AZ53" s="150">
        <f t="shared" ref="AZ53:AZ116" si="29">MAX(0,ROUND(AV53-AX53-AY53,2))</f>
        <v>35000</v>
      </c>
      <c r="BA53" s="150">
        <f>IF($C$14&gt;0,$C$14,0)</f>
        <v>12850</v>
      </c>
      <c r="BB53" s="150">
        <f t="shared" ref="BB53:BB116" si="30">IF(BA53&lt;=0.01,0,ROUND(BA53*$D$14/12,2))</f>
        <v>203.46</v>
      </c>
      <c r="BC53" s="150">
        <f t="shared" ref="BC53:BC116" si="31">IF(BA53&lt;=0.01,0,MAX(0,MIN(BA53,MAX(0,$E$14-BB53))))</f>
        <v>0</v>
      </c>
      <c r="BD53" s="150">
        <f t="shared" ref="BD53:BD116" si="32">IF(BA53&lt;=0.01,0,IF(($G$14=MIN(IF(AV53&gt;0.01,$G$13,999),IF(BA53&gt;0.01,$G$14,999),IF(BF53&gt;0.01,$G$15,999),IF(BK53&gt;0.01,$G$16,999),IF(BP53&gt;0.01,$G$17,999),IF(BU53&gt;0.01,$G$18,999))),MIN(MAX(0,BA53-BC53),BZ53),0))</f>
        <v>0</v>
      </c>
      <c r="BE53" s="150">
        <f t="shared" ref="BE53:BE116" si="33">MAX(0,ROUND(BA53-BC53-BD53,2))</f>
        <v>12850</v>
      </c>
      <c r="BF53" s="150">
        <f>IF($C$15&gt;0,$C$15,0)</f>
        <v>4240</v>
      </c>
      <c r="BG53" s="150">
        <f t="shared" ref="BG53:BG116" si="34">IF(BF53&lt;=0.01,0,ROUND(BF53*$D$15/12,2))</f>
        <v>84.8</v>
      </c>
      <c r="BH53" s="150">
        <f t="shared" ref="BH53:BH116" si="35">IF(BF53&lt;=0.01,0,MAX(0,MIN(BF53,MAX(0,$E$15-BG53))))</f>
        <v>0</v>
      </c>
      <c r="BI53" s="150">
        <f t="shared" ref="BI53:BI116" si="36">IF(BF53&lt;=0.01,0,IF(($G$15=MIN(IF(AV53&gt;0.01,$G$13,999),IF(BA53&gt;0.01,$G$14,999),IF(BF53&gt;0.01,$G$15,999),IF(BK53&gt;0.01,$G$16,999),IF(BP53&gt;0.01,$G$17,999),IF(BU53&gt;0.01,$G$18,999))),MIN(MAX(0,BF53-BH53),BZ53),0))</f>
        <v>200</v>
      </c>
      <c r="BJ53" s="150">
        <f t="shared" ref="BJ53:BJ116" si="37">MAX(0,ROUND(BF53-BH53-BI53,2))</f>
        <v>4040</v>
      </c>
      <c r="BK53" s="150">
        <f>IF($C$16&gt;0,$C$16,0)</f>
        <v>115000</v>
      </c>
      <c r="BL53" s="150">
        <f t="shared" ref="BL53:BL116" si="38">IF(BK53&lt;=0.01,0,ROUND(BK53*$D$16/12,2))</f>
        <v>575</v>
      </c>
      <c r="BM53" s="150">
        <f t="shared" ref="BM53:BM116" si="39">IF(BK53&lt;=0.01,0,MAX(0,MIN(BK53,MAX(0,$E$16-BL53))))</f>
        <v>0</v>
      </c>
      <c r="BN53" s="150">
        <f t="shared" ref="BN53:BN116" si="40">IF(BK53&lt;=0.01,0,IF(($G$16=MIN(IF(AV53&gt;0.01,$G$13,999),IF(BA53&gt;0.01,$G$14,999),IF(BF53&gt;0.01,$G$15,999),IF(BK53&gt;0.01,$G$16,999),IF(BP53&gt;0.01,$G$17,999),IF(BU53&gt;0.01,$G$18,999))),MIN(MAX(0,BK53-BM53),BZ53),0))</f>
        <v>0</v>
      </c>
      <c r="BO53" s="150">
        <f t="shared" ref="BO53:BO116" si="41">MAX(0,ROUND(BK53-BM53-BN53,2))</f>
        <v>115000</v>
      </c>
      <c r="BP53" s="150">
        <f>IF($C$17&gt;0,$C$17,0)</f>
        <v>12000</v>
      </c>
      <c r="BQ53" s="150">
        <f t="shared" ref="BQ53:BQ116" si="42">IF(BP53&lt;=0.01,0,ROUND(BP53*$D$17/12,2))</f>
        <v>50</v>
      </c>
      <c r="BR53" s="150">
        <f t="shared" ref="BR53:BR116" si="43">IF(BP53&lt;=0.01,0,MAX(0,MIN(BP53,MAX(0,$E$17-BQ53))))</f>
        <v>0</v>
      </c>
      <c r="BS53" s="150">
        <f t="shared" ref="BS53:BS116" si="44">IF(BP53&lt;=0.01,0,IF(($G$17=MIN(IF(AV53&gt;0.01,$G$13,999),IF(BA53&gt;0.01,$G$14,999),IF(BF53&gt;0.01,$G$15,999),IF(BK53&gt;0.01,$G$16,999),IF(BP53&gt;0.01,$G$17,999),IF(BU53&gt;0.01,$G$18,999))),MIN(MAX(0,BP53-BR53),BZ53),0))</f>
        <v>0</v>
      </c>
      <c r="BT53" s="150">
        <f t="shared" ref="BT53:BT116" si="45">MAX(0,ROUND(BP53-BR53-BS53,2))</f>
        <v>12000</v>
      </c>
      <c r="BU53" s="150">
        <f>IF($C$18&gt;0,$C$18,0)</f>
        <v>20500</v>
      </c>
      <c r="BV53" s="150">
        <f t="shared" ref="BV53:BV116" si="46">IF(BU53&lt;=0.01,0,ROUND(BU53*$D$18/12,2))</f>
        <v>273.33</v>
      </c>
      <c r="BW53" s="150">
        <f t="shared" ref="BW53:BW116" si="47">IF(BU53&lt;=0.01,0,MAX(0,MIN(BU53,MAX(0,$E$18-BV53))))</f>
        <v>116.67000000000002</v>
      </c>
      <c r="BX53" s="150">
        <f t="shared" ref="BX53:BX116" si="48">IF(BU53&lt;=0.01,0,IF(($G$18=MIN(IF(AV53&gt;0.01,$G$13,999),IF(BA53&gt;0.01,$G$14,999),IF(BF53&gt;0.01,$G$15,999),IF(BK53&gt;0.01,$G$16,999),IF(BP53&gt;0.01,$G$17,999),IF(BU53&gt;0.01,$G$18,999))),MIN(MAX(0,BU53-BW53),BZ53),0))</f>
        <v>0</v>
      </c>
      <c r="BY53" s="150">
        <f t="shared" ref="BY53:BY116" si="49">MAX(0,ROUND(BU53-BW53-BX53,2))</f>
        <v>20383.330000000002</v>
      </c>
      <c r="BZ53" s="147">
        <f>IF(AT53="","",$C$9+0)</f>
        <v>200</v>
      </c>
      <c r="CA53" s="147">
        <f>ROUND(AW53+BB53+BG53+BL53+BQ53+BV53,2)</f>
        <v>1828.26</v>
      </c>
    </row>
    <row r="54" spans="11:79">
      <c r="K54" s="132">
        <f t="shared" ref="K54:K117" si="50">IF((Q53+V53+AA53+AF53+AK53+AP53)&lt;=0.01,"",K53+1)</f>
        <v>2</v>
      </c>
      <c r="L54" s="148">
        <f t="shared" si="0"/>
        <v>45716</v>
      </c>
      <c r="M54" s="131">
        <f t="shared" ref="M54:M117" si="51">MAX(0,Q53)</f>
        <v>35000</v>
      </c>
      <c r="N54" s="131">
        <f t="shared" si="1"/>
        <v>641.66999999999996</v>
      </c>
      <c r="O54" s="131">
        <f t="shared" si="2"/>
        <v>0</v>
      </c>
      <c r="P54" s="131">
        <f t="shared" si="3"/>
        <v>0</v>
      </c>
      <c r="Q54" s="131">
        <f t="shared" si="4"/>
        <v>35000</v>
      </c>
      <c r="R54" s="131">
        <f t="shared" ref="R54:R117" si="52">MAX(0,V53)</f>
        <v>12850</v>
      </c>
      <c r="S54" s="131">
        <f t="shared" si="5"/>
        <v>203.46</v>
      </c>
      <c r="T54" s="131">
        <f t="shared" si="6"/>
        <v>0</v>
      </c>
      <c r="U54" s="131">
        <f t="shared" si="7"/>
        <v>0</v>
      </c>
      <c r="V54" s="131">
        <f t="shared" si="8"/>
        <v>12850</v>
      </c>
      <c r="W54" s="131">
        <f t="shared" ref="W54:W117" si="53">MAX(0,AA53)</f>
        <v>4040</v>
      </c>
      <c r="X54" s="131">
        <f t="shared" si="9"/>
        <v>80.8</v>
      </c>
      <c r="Y54" s="131">
        <f t="shared" si="10"/>
        <v>0</v>
      </c>
      <c r="Z54" s="131">
        <f t="shared" si="11"/>
        <v>200</v>
      </c>
      <c r="AA54" s="131">
        <f t="shared" si="12"/>
        <v>3840</v>
      </c>
      <c r="AB54" s="131">
        <f t="shared" ref="AB54:AB117" si="54">MAX(0,AF53)</f>
        <v>115000</v>
      </c>
      <c r="AC54" s="131">
        <f t="shared" si="13"/>
        <v>575</v>
      </c>
      <c r="AD54" s="131">
        <f t="shared" si="14"/>
        <v>0</v>
      </c>
      <c r="AE54" s="131">
        <f t="shared" si="15"/>
        <v>0</v>
      </c>
      <c r="AF54" s="131">
        <f t="shared" si="16"/>
        <v>115000</v>
      </c>
      <c r="AG54" s="131">
        <f t="shared" ref="AG54:AG117" si="55">MAX(0,AK53)</f>
        <v>12000</v>
      </c>
      <c r="AH54" s="131">
        <f t="shared" si="17"/>
        <v>50</v>
      </c>
      <c r="AI54" s="131">
        <f t="shared" si="18"/>
        <v>0</v>
      </c>
      <c r="AJ54" s="131">
        <f t="shared" si="19"/>
        <v>0</v>
      </c>
      <c r="AK54" s="131">
        <f t="shared" si="20"/>
        <v>12000</v>
      </c>
      <c r="AL54" s="131">
        <f t="shared" ref="AL54:AL117" si="56">MAX(0,AP53)</f>
        <v>20383.330000000002</v>
      </c>
      <c r="AM54" s="131">
        <f t="shared" si="21"/>
        <v>271.77999999999997</v>
      </c>
      <c r="AN54" s="131">
        <f t="shared" si="22"/>
        <v>118.22000000000003</v>
      </c>
      <c r="AO54" s="131">
        <f t="shared" si="23"/>
        <v>0</v>
      </c>
      <c r="AP54" s="131">
        <f t="shared" si="24"/>
        <v>20265.11</v>
      </c>
      <c r="AQ54" s="149">
        <f t="shared" ref="AQ54:AQ117" si="57">IF(K54="","",$C$9+IF(AND($C$13&gt;0,Q53&lt;=0.01),$E$13,0)+IF(AND($C$14&gt;0,V53&lt;=0.01),$E$14,0)+IF(AND($C$15&gt;0,AA53&lt;=0.01),$E$15,0)+IF(AND($C$16&gt;0,AF53&lt;=0.01),$E$16,0)+IF(AND($C$17&gt;0,AK53&lt;=0.01),$E$17,0)+IF(AND($C$18&gt;0,AP53&lt;=0.01),$E$18,0))</f>
        <v>200</v>
      </c>
      <c r="AR54" s="149">
        <f t="shared" ref="AR54:AR117" si="58">IFERROR(AR53+ROUND(N54+S54+X54+AC54+AH54+AM54,2),0)</f>
        <v>3650.9700000000003</v>
      </c>
      <c r="AS54" s="133"/>
      <c r="AT54" s="132">
        <f t="shared" ref="AT54:AT117" si="59">IF((AZ53+BE53+BJ53+BO53+BT53+BY53)&lt;=0.01,"",AT53+1)</f>
        <v>2</v>
      </c>
      <c r="AU54" s="148">
        <f t="shared" si="25"/>
        <v>45716</v>
      </c>
      <c r="AV54" s="131">
        <f t="shared" ref="AV54:AV117" si="60">MAX(0,AZ53)</f>
        <v>35000</v>
      </c>
      <c r="AW54" s="131">
        <f t="shared" si="26"/>
        <v>641.66999999999996</v>
      </c>
      <c r="AX54" s="131">
        <f t="shared" si="27"/>
        <v>0</v>
      </c>
      <c r="AY54" s="131">
        <f t="shared" si="28"/>
        <v>0</v>
      </c>
      <c r="AZ54" s="131">
        <f t="shared" si="29"/>
        <v>35000</v>
      </c>
      <c r="BA54" s="131">
        <f t="shared" ref="BA54:BA117" si="61">MAX(0,BE53)</f>
        <v>12850</v>
      </c>
      <c r="BB54" s="131">
        <f t="shared" si="30"/>
        <v>203.46</v>
      </c>
      <c r="BC54" s="131">
        <f t="shared" si="31"/>
        <v>0</v>
      </c>
      <c r="BD54" s="131">
        <f t="shared" si="32"/>
        <v>0</v>
      </c>
      <c r="BE54" s="131">
        <f t="shared" si="33"/>
        <v>12850</v>
      </c>
      <c r="BF54" s="131">
        <f t="shared" ref="BF54:BF117" si="62">MAX(0,BJ53)</f>
        <v>4040</v>
      </c>
      <c r="BG54" s="131">
        <f t="shared" si="34"/>
        <v>80.8</v>
      </c>
      <c r="BH54" s="131">
        <f t="shared" si="35"/>
        <v>0</v>
      </c>
      <c r="BI54" s="131">
        <f t="shared" si="36"/>
        <v>200</v>
      </c>
      <c r="BJ54" s="131">
        <f t="shared" si="37"/>
        <v>3840</v>
      </c>
      <c r="BK54" s="131">
        <f t="shared" ref="BK54:BK117" si="63">MAX(0,BO53)</f>
        <v>115000</v>
      </c>
      <c r="BL54" s="131">
        <f t="shared" si="38"/>
        <v>575</v>
      </c>
      <c r="BM54" s="131">
        <f t="shared" si="39"/>
        <v>0</v>
      </c>
      <c r="BN54" s="131">
        <f t="shared" si="40"/>
        <v>0</v>
      </c>
      <c r="BO54" s="131">
        <f t="shared" si="41"/>
        <v>115000</v>
      </c>
      <c r="BP54" s="131">
        <f t="shared" ref="BP54:BP117" si="64">MAX(0,BT53)</f>
        <v>12000</v>
      </c>
      <c r="BQ54" s="131">
        <f t="shared" si="42"/>
        <v>50</v>
      </c>
      <c r="BR54" s="131">
        <f t="shared" si="43"/>
        <v>0</v>
      </c>
      <c r="BS54" s="131">
        <f t="shared" si="44"/>
        <v>0</v>
      </c>
      <c r="BT54" s="131">
        <f t="shared" si="45"/>
        <v>12000</v>
      </c>
      <c r="BU54" s="131">
        <f t="shared" ref="BU54:BU117" si="65">MAX(0,BY53)</f>
        <v>20383.330000000002</v>
      </c>
      <c r="BV54" s="131">
        <f t="shared" si="46"/>
        <v>271.77999999999997</v>
      </c>
      <c r="BW54" s="131">
        <f t="shared" si="47"/>
        <v>118.22000000000003</v>
      </c>
      <c r="BX54" s="131">
        <f t="shared" si="48"/>
        <v>0</v>
      </c>
      <c r="BY54" s="131">
        <f t="shared" si="49"/>
        <v>20265.11</v>
      </c>
      <c r="BZ54" s="147">
        <f t="shared" ref="BZ54:BZ117" si="66">IF(AT54="","",$C$9+IF(AND($C$13&gt;0,AZ53&lt;=0.01),$E$13,0)+IF(AND($C$14&gt;0,BE53&lt;=0.01),$E$14,0)+IF(AND($C$15&gt;0,BJ53&lt;=0.01),$E$15,0)+IF(AND($C$16&gt;0,BO53&lt;=0.01),$E$16,0)+IF(AND($C$17&gt;0,BT53&lt;=0.01),$E$17,0)+IF(AND($C$18&gt;0,BY53&lt;=0.01),$E$18,0))</f>
        <v>200</v>
      </c>
      <c r="CA54" s="147">
        <f t="shared" ref="CA54:CA117" si="67">IFERROR(CA53+ROUND(AW54+BB54+BG54+BL54+BQ54+BV54,2),0)</f>
        <v>3650.9700000000003</v>
      </c>
    </row>
    <row r="55" spans="11:79">
      <c r="K55" s="152">
        <f t="shared" si="50"/>
        <v>3</v>
      </c>
      <c r="L55" s="151">
        <f t="shared" si="0"/>
        <v>45747</v>
      </c>
      <c r="M55" s="150">
        <f t="shared" si="51"/>
        <v>35000</v>
      </c>
      <c r="N55" s="150">
        <f t="shared" si="1"/>
        <v>641.66999999999996</v>
      </c>
      <c r="O55" s="150">
        <f t="shared" si="2"/>
        <v>0</v>
      </c>
      <c r="P55" s="150">
        <f t="shared" si="3"/>
        <v>0</v>
      </c>
      <c r="Q55" s="150">
        <f t="shared" si="4"/>
        <v>35000</v>
      </c>
      <c r="R55" s="150">
        <f t="shared" si="52"/>
        <v>12850</v>
      </c>
      <c r="S55" s="150">
        <f t="shared" si="5"/>
        <v>203.46</v>
      </c>
      <c r="T55" s="150">
        <f t="shared" si="6"/>
        <v>0</v>
      </c>
      <c r="U55" s="150">
        <f t="shared" si="7"/>
        <v>0</v>
      </c>
      <c r="V55" s="150">
        <f t="shared" si="8"/>
        <v>12850</v>
      </c>
      <c r="W55" s="150">
        <f t="shared" si="53"/>
        <v>3840</v>
      </c>
      <c r="X55" s="150">
        <f t="shared" si="9"/>
        <v>76.8</v>
      </c>
      <c r="Y55" s="150">
        <f t="shared" si="10"/>
        <v>0</v>
      </c>
      <c r="Z55" s="150">
        <f t="shared" si="11"/>
        <v>200</v>
      </c>
      <c r="AA55" s="150">
        <f t="shared" si="12"/>
        <v>3640</v>
      </c>
      <c r="AB55" s="150">
        <f t="shared" si="54"/>
        <v>115000</v>
      </c>
      <c r="AC55" s="150">
        <f t="shared" si="13"/>
        <v>575</v>
      </c>
      <c r="AD55" s="150">
        <f t="shared" si="14"/>
        <v>0</v>
      </c>
      <c r="AE55" s="150">
        <f t="shared" si="15"/>
        <v>0</v>
      </c>
      <c r="AF55" s="150">
        <f t="shared" si="16"/>
        <v>115000</v>
      </c>
      <c r="AG55" s="150">
        <f t="shared" si="55"/>
        <v>12000</v>
      </c>
      <c r="AH55" s="150">
        <f t="shared" si="17"/>
        <v>50</v>
      </c>
      <c r="AI55" s="150">
        <f t="shared" si="18"/>
        <v>0</v>
      </c>
      <c r="AJ55" s="150">
        <f t="shared" si="19"/>
        <v>0</v>
      </c>
      <c r="AK55" s="150">
        <f t="shared" si="20"/>
        <v>12000</v>
      </c>
      <c r="AL55" s="150">
        <f t="shared" si="56"/>
        <v>20265.11</v>
      </c>
      <c r="AM55" s="150">
        <f t="shared" si="21"/>
        <v>270.2</v>
      </c>
      <c r="AN55" s="150">
        <f t="shared" si="22"/>
        <v>119.80000000000001</v>
      </c>
      <c r="AO55" s="150">
        <f t="shared" si="23"/>
        <v>0</v>
      </c>
      <c r="AP55" s="150">
        <f t="shared" si="24"/>
        <v>20145.310000000001</v>
      </c>
      <c r="AQ55" s="149">
        <f t="shared" si="57"/>
        <v>200</v>
      </c>
      <c r="AR55" s="149">
        <f t="shared" si="58"/>
        <v>5468.1</v>
      </c>
      <c r="AS55" s="133"/>
      <c r="AT55" s="152">
        <f t="shared" si="59"/>
        <v>3</v>
      </c>
      <c r="AU55" s="151">
        <f t="shared" si="25"/>
        <v>45747</v>
      </c>
      <c r="AV55" s="150">
        <f t="shared" si="60"/>
        <v>35000</v>
      </c>
      <c r="AW55" s="150">
        <f t="shared" si="26"/>
        <v>641.66999999999996</v>
      </c>
      <c r="AX55" s="150">
        <f t="shared" si="27"/>
        <v>0</v>
      </c>
      <c r="AY55" s="150">
        <f t="shared" si="28"/>
        <v>0</v>
      </c>
      <c r="AZ55" s="150">
        <f t="shared" si="29"/>
        <v>35000</v>
      </c>
      <c r="BA55" s="150">
        <f t="shared" si="61"/>
        <v>12850</v>
      </c>
      <c r="BB55" s="150">
        <f t="shared" si="30"/>
        <v>203.46</v>
      </c>
      <c r="BC55" s="150">
        <f t="shared" si="31"/>
        <v>0</v>
      </c>
      <c r="BD55" s="150">
        <f t="shared" si="32"/>
        <v>0</v>
      </c>
      <c r="BE55" s="150">
        <f t="shared" si="33"/>
        <v>12850</v>
      </c>
      <c r="BF55" s="150">
        <f t="shared" si="62"/>
        <v>3840</v>
      </c>
      <c r="BG55" s="150">
        <f t="shared" si="34"/>
        <v>76.8</v>
      </c>
      <c r="BH55" s="150">
        <f t="shared" si="35"/>
        <v>0</v>
      </c>
      <c r="BI55" s="150">
        <f t="shared" si="36"/>
        <v>200</v>
      </c>
      <c r="BJ55" s="150">
        <f t="shared" si="37"/>
        <v>3640</v>
      </c>
      <c r="BK55" s="150">
        <f t="shared" si="63"/>
        <v>115000</v>
      </c>
      <c r="BL55" s="150">
        <f t="shared" si="38"/>
        <v>575</v>
      </c>
      <c r="BM55" s="150">
        <f t="shared" si="39"/>
        <v>0</v>
      </c>
      <c r="BN55" s="150">
        <f t="shared" si="40"/>
        <v>0</v>
      </c>
      <c r="BO55" s="150">
        <f t="shared" si="41"/>
        <v>115000</v>
      </c>
      <c r="BP55" s="150">
        <f t="shared" si="64"/>
        <v>12000</v>
      </c>
      <c r="BQ55" s="150">
        <f t="shared" si="42"/>
        <v>50</v>
      </c>
      <c r="BR55" s="150">
        <f t="shared" si="43"/>
        <v>0</v>
      </c>
      <c r="BS55" s="150">
        <f t="shared" si="44"/>
        <v>0</v>
      </c>
      <c r="BT55" s="150">
        <f t="shared" si="45"/>
        <v>12000</v>
      </c>
      <c r="BU55" s="150">
        <f t="shared" si="65"/>
        <v>20265.11</v>
      </c>
      <c r="BV55" s="150">
        <f t="shared" si="46"/>
        <v>270.2</v>
      </c>
      <c r="BW55" s="150">
        <f t="shared" si="47"/>
        <v>119.80000000000001</v>
      </c>
      <c r="BX55" s="150">
        <f t="shared" si="48"/>
        <v>0</v>
      </c>
      <c r="BY55" s="150">
        <f t="shared" si="49"/>
        <v>20145.310000000001</v>
      </c>
      <c r="BZ55" s="147">
        <f t="shared" si="66"/>
        <v>200</v>
      </c>
      <c r="CA55" s="147">
        <f t="shared" si="67"/>
        <v>5468.1</v>
      </c>
    </row>
    <row r="56" spans="11:79">
      <c r="K56" s="132">
        <f t="shared" si="50"/>
        <v>4</v>
      </c>
      <c r="L56" s="148">
        <f t="shared" si="0"/>
        <v>45777</v>
      </c>
      <c r="M56" s="131">
        <f t="shared" si="51"/>
        <v>35000</v>
      </c>
      <c r="N56" s="131">
        <f t="shared" si="1"/>
        <v>641.66999999999996</v>
      </c>
      <c r="O56" s="131">
        <f t="shared" si="2"/>
        <v>0</v>
      </c>
      <c r="P56" s="131">
        <f t="shared" si="3"/>
        <v>0</v>
      </c>
      <c r="Q56" s="131">
        <f t="shared" si="4"/>
        <v>35000</v>
      </c>
      <c r="R56" s="131">
        <f t="shared" si="52"/>
        <v>12850</v>
      </c>
      <c r="S56" s="131">
        <f t="shared" si="5"/>
        <v>203.46</v>
      </c>
      <c r="T56" s="131">
        <f t="shared" si="6"/>
        <v>0</v>
      </c>
      <c r="U56" s="131">
        <f t="shared" si="7"/>
        <v>0</v>
      </c>
      <c r="V56" s="131">
        <f t="shared" si="8"/>
        <v>12850</v>
      </c>
      <c r="W56" s="131">
        <f t="shared" si="53"/>
        <v>3640</v>
      </c>
      <c r="X56" s="131">
        <f t="shared" si="9"/>
        <v>72.8</v>
      </c>
      <c r="Y56" s="131">
        <f t="shared" si="10"/>
        <v>0</v>
      </c>
      <c r="Z56" s="131">
        <f t="shared" si="11"/>
        <v>200</v>
      </c>
      <c r="AA56" s="131">
        <f t="shared" si="12"/>
        <v>3440</v>
      </c>
      <c r="AB56" s="131">
        <f t="shared" si="54"/>
        <v>115000</v>
      </c>
      <c r="AC56" s="131">
        <f t="shared" si="13"/>
        <v>575</v>
      </c>
      <c r="AD56" s="131">
        <f t="shared" si="14"/>
        <v>0</v>
      </c>
      <c r="AE56" s="131">
        <f t="shared" si="15"/>
        <v>0</v>
      </c>
      <c r="AF56" s="131">
        <f t="shared" si="16"/>
        <v>115000</v>
      </c>
      <c r="AG56" s="131">
        <f t="shared" si="55"/>
        <v>12000</v>
      </c>
      <c r="AH56" s="131">
        <f t="shared" si="17"/>
        <v>50</v>
      </c>
      <c r="AI56" s="131">
        <f t="shared" si="18"/>
        <v>0</v>
      </c>
      <c r="AJ56" s="131">
        <f t="shared" si="19"/>
        <v>0</v>
      </c>
      <c r="AK56" s="131">
        <f t="shared" si="20"/>
        <v>12000</v>
      </c>
      <c r="AL56" s="131">
        <f t="shared" si="56"/>
        <v>20145.310000000001</v>
      </c>
      <c r="AM56" s="131">
        <f t="shared" si="21"/>
        <v>268.60000000000002</v>
      </c>
      <c r="AN56" s="131">
        <f t="shared" si="22"/>
        <v>121.39999999999998</v>
      </c>
      <c r="AO56" s="131">
        <f t="shared" si="23"/>
        <v>0</v>
      </c>
      <c r="AP56" s="131">
        <f t="shared" si="24"/>
        <v>20023.91</v>
      </c>
      <c r="AQ56" s="149">
        <f t="shared" si="57"/>
        <v>200</v>
      </c>
      <c r="AR56" s="149">
        <f t="shared" si="58"/>
        <v>7279.63</v>
      </c>
      <c r="AS56" s="133"/>
      <c r="AT56" s="132">
        <f t="shared" si="59"/>
        <v>4</v>
      </c>
      <c r="AU56" s="148">
        <f t="shared" si="25"/>
        <v>45777</v>
      </c>
      <c r="AV56" s="131">
        <f t="shared" si="60"/>
        <v>35000</v>
      </c>
      <c r="AW56" s="131">
        <f t="shared" si="26"/>
        <v>641.66999999999996</v>
      </c>
      <c r="AX56" s="131">
        <f t="shared" si="27"/>
        <v>0</v>
      </c>
      <c r="AY56" s="131">
        <f t="shared" si="28"/>
        <v>0</v>
      </c>
      <c r="AZ56" s="131">
        <f t="shared" si="29"/>
        <v>35000</v>
      </c>
      <c r="BA56" s="131">
        <f t="shared" si="61"/>
        <v>12850</v>
      </c>
      <c r="BB56" s="131">
        <f t="shared" si="30"/>
        <v>203.46</v>
      </c>
      <c r="BC56" s="131">
        <f t="shared" si="31"/>
        <v>0</v>
      </c>
      <c r="BD56" s="131">
        <f t="shared" si="32"/>
        <v>0</v>
      </c>
      <c r="BE56" s="131">
        <f t="shared" si="33"/>
        <v>12850</v>
      </c>
      <c r="BF56" s="131">
        <f t="shared" si="62"/>
        <v>3640</v>
      </c>
      <c r="BG56" s="131">
        <f t="shared" si="34"/>
        <v>72.8</v>
      </c>
      <c r="BH56" s="131">
        <f t="shared" si="35"/>
        <v>0</v>
      </c>
      <c r="BI56" s="131">
        <f t="shared" si="36"/>
        <v>200</v>
      </c>
      <c r="BJ56" s="131">
        <f t="shared" si="37"/>
        <v>3440</v>
      </c>
      <c r="BK56" s="131">
        <f t="shared" si="63"/>
        <v>115000</v>
      </c>
      <c r="BL56" s="131">
        <f t="shared" si="38"/>
        <v>575</v>
      </c>
      <c r="BM56" s="131">
        <f t="shared" si="39"/>
        <v>0</v>
      </c>
      <c r="BN56" s="131">
        <f t="shared" si="40"/>
        <v>0</v>
      </c>
      <c r="BO56" s="131">
        <f t="shared" si="41"/>
        <v>115000</v>
      </c>
      <c r="BP56" s="131">
        <f t="shared" si="64"/>
        <v>12000</v>
      </c>
      <c r="BQ56" s="131">
        <f t="shared" si="42"/>
        <v>50</v>
      </c>
      <c r="BR56" s="131">
        <f t="shared" si="43"/>
        <v>0</v>
      </c>
      <c r="BS56" s="131">
        <f t="shared" si="44"/>
        <v>0</v>
      </c>
      <c r="BT56" s="131">
        <f t="shared" si="45"/>
        <v>12000</v>
      </c>
      <c r="BU56" s="131">
        <f t="shared" si="65"/>
        <v>20145.310000000001</v>
      </c>
      <c r="BV56" s="131">
        <f t="shared" si="46"/>
        <v>268.60000000000002</v>
      </c>
      <c r="BW56" s="131">
        <f t="shared" si="47"/>
        <v>121.39999999999998</v>
      </c>
      <c r="BX56" s="131">
        <f t="shared" si="48"/>
        <v>0</v>
      </c>
      <c r="BY56" s="131">
        <f t="shared" si="49"/>
        <v>20023.91</v>
      </c>
      <c r="BZ56" s="147">
        <f t="shared" si="66"/>
        <v>200</v>
      </c>
      <c r="CA56" s="147">
        <f t="shared" si="67"/>
        <v>7279.63</v>
      </c>
    </row>
    <row r="57" spans="11:79">
      <c r="K57" s="152">
        <f t="shared" si="50"/>
        <v>5</v>
      </c>
      <c r="L57" s="151">
        <f t="shared" si="0"/>
        <v>45808</v>
      </c>
      <c r="M57" s="150">
        <f t="shared" si="51"/>
        <v>35000</v>
      </c>
      <c r="N57" s="150">
        <f t="shared" si="1"/>
        <v>641.66999999999996</v>
      </c>
      <c r="O57" s="150">
        <f t="shared" si="2"/>
        <v>0</v>
      </c>
      <c r="P57" s="150">
        <f t="shared" si="3"/>
        <v>0</v>
      </c>
      <c r="Q57" s="150">
        <f t="shared" si="4"/>
        <v>35000</v>
      </c>
      <c r="R57" s="150">
        <f t="shared" si="52"/>
        <v>12850</v>
      </c>
      <c r="S57" s="150">
        <f t="shared" si="5"/>
        <v>203.46</v>
      </c>
      <c r="T57" s="150">
        <f t="shared" si="6"/>
        <v>0</v>
      </c>
      <c r="U57" s="150">
        <f t="shared" si="7"/>
        <v>0</v>
      </c>
      <c r="V57" s="150">
        <f t="shared" si="8"/>
        <v>12850</v>
      </c>
      <c r="W57" s="150">
        <f t="shared" si="53"/>
        <v>3440</v>
      </c>
      <c r="X57" s="150">
        <f t="shared" si="9"/>
        <v>68.8</v>
      </c>
      <c r="Y57" s="150">
        <f t="shared" si="10"/>
        <v>0</v>
      </c>
      <c r="Z57" s="150">
        <f t="shared" si="11"/>
        <v>200</v>
      </c>
      <c r="AA57" s="150">
        <f t="shared" si="12"/>
        <v>3240</v>
      </c>
      <c r="AB57" s="150">
        <f t="shared" si="54"/>
        <v>115000</v>
      </c>
      <c r="AC57" s="150">
        <f t="shared" si="13"/>
        <v>575</v>
      </c>
      <c r="AD57" s="150">
        <f t="shared" si="14"/>
        <v>0</v>
      </c>
      <c r="AE57" s="150">
        <f t="shared" si="15"/>
        <v>0</v>
      </c>
      <c r="AF57" s="150">
        <f t="shared" si="16"/>
        <v>115000</v>
      </c>
      <c r="AG57" s="150">
        <f t="shared" si="55"/>
        <v>12000</v>
      </c>
      <c r="AH57" s="150">
        <f t="shared" si="17"/>
        <v>50</v>
      </c>
      <c r="AI57" s="150">
        <f t="shared" si="18"/>
        <v>0</v>
      </c>
      <c r="AJ57" s="150">
        <f t="shared" si="19"/>
        <v>0</v>
      </c>
      <c r="AK57" s="150">
        <f t="shared" si="20"/>
        <v>12000</v>
      </c>
      <c r="AL57" s="150">
        <f t="shared" si="56"/>
        <v>20023.91</v>
      </c>
      <c r="AM57" s="150">
        <f t="shared" si="21"/>
        <v>266.99</v>
      </c>
      <c r="AN57" s="150">
        <f t="shared" si="22"/>
        <v>123.00999999999999</v>
      </c>
      <c r="AO57" s="150">
        <f t="shared" si="23"/>
        <v>0</v>
      </c>
      <c r="AP57" s="150">
        <f t="shared" si="24"/>
        <v>19900.900000000001</v>
      </c>
      <c r="AQ57" s="149">
        <f t="shared" si="57"/>
        <v>200</v>
      </c>
      <c r="AR57" s="149">
        <f t="shared" si="58"/>
        <v>9085.5499999999993</v>
      </c>
      <c r="AS57" s="133"/>
      <c r="AT57" s="152">
        <f t="shared" si="59"/>
        <v>5</v>
      </c>
      <c r="AU57" s="151">
        <f t="shared" si="25"/>
        <v>45808</v>
      </c>
      <c r="AV57" s="150">
        <f t="shared" si="60"/>
        <v>35000</v>
      </c>
      <c r="AW57" s="150">
        <f t="shared" si="26"/>
        <v>641.66999999999996</v>
      </c>
      <c r="AX57" s="150">
        <f t="shared" si="27"/>
        <v>0</v>
      </c>
      <c r="AY57" s="150">
        <f t="shared" si="28"/>
        <v>0</v>
      </c>
      <c r="AZ57" s="150">
        <f t="shared" si="29"/>
        <v>35000</v>
      </c>
      <c r="BA57" s="150">
        <f t="shared" si="61"/>
        <v>12850</v>
      </c>
      <c r="BB57" s="150">
        <f t="shared" si="30"/>
        <v>203.46</v>
      </c>
      <c r="BC57" s="150">
        <f t="shared" si="31"/>
        <v>0</v>
      </c>
      <c r="BD57" s="150">
        <f t="shared" si="32"/>
        <v>0</v>
      </c>
      <c r="BE57" s="150">
        <f t="shared" si="33"/>
        <v>12850</v>
      </c>
      <c r="BF57" s="150">
        <f t="shared" si="62"/>
        <v>3440</v>
      </c>
      <c r="BG57" s="150">
        <f t="shared" si="34"/>
        <v>68.8</v>
      </c>
      <c r="BH57" s="150">
        <f t="shared" si="35"/>
        <v>0</v>
      </c>
      <c r="BI57" s="150">
        <f t="shared" si="36"/>
        <v>200</v>
      </c>
      <c r="BJ57" s="150">
        <f t="shared" si="37"/>
        <v>3240</v>
      </c>
      <c r="BK57" s="150">
        <f t="shared" si="63"/>
        <v>115000</v>
      </c>
      <c r="BL57" s="150">
        <f t="shared" si="38"/>
        <v>575</v>
      </c>
      <c r="BM57" s="150">
        <f t="shared" si="39"/>
        <v>0</v>
      </c>
      <c r="BN57" s="150">
        <f t="shared" si="40"/>
        <v>0</v>
      </c>
      <c r="BO57" s="150">
        <f t="shared" si="41"/>
        <v>115000</v>
      </c>
      <c r="BP57" s="150">
        <f t="shared" si="64"/>
        <v>12000</v>
      </c>
      <c r="BQ57" s="150">
        <f t="shared" si="42"/>
        <v>50</v>
      </c>
      <c r="BR57" s="150">
        <f t="shared" si="43"/>
        <v>0</v>
      </c>
      <c r="BS57" s="150">
        <f t="shared" si="44"/>
        <v>0</v>
      </c>
      <c r="BT57" s="150">
        <f t="shared" si="45"/>
        <v>12000</v>
      </c>
      <c r="BU57" s="150">
        <f t="shared" si="65"/>
        <v>20023.91</v>
      </c>
      <c r="BV57" s="150">
        <f t="shared" si="46"/>
        <v>266.99</v>
      </c>
      <c r="BW57" s="150">
        <f t="shared" si="47"/>
        <v>123.00999999999999</v>
      </c>
      <c r="BX57" s="150">
        <f t="shared" si="48"/>
        <v>0</v>
      </c>
      <c r="BY57" s="150">
        <f t="shared" si="49"/>
        <v>19900.900000000001</v>
      </c>
      <c r="BZ57" s="147">
        <f t="shared" si="66"/>
        <v>200</v>
      </c>
      <c r="CA57" s="147">
        <f t="shared" si="67"/>
        <v>9085.5499999999993</v>
      </c>
    </row>
    <row r="58" spans="11:79">
      <c r="K58" s="132">
        <f t="shared" si="50"/>
        <v>6</v>
      </c>
      <c r="L58" s="148">
        <f t="shared" si="0"/>
        <v>45838</v>
      </c>
      <c r="M58" s="131">
        <f t="shared" si="51"/>
        <v>35000</v>
      </c>
      <c r="N58" s="131">
        <f t="shared" si="1"/>
        <v>641.66999999999996</v>
      </c>
      <c r="O58" s="131">
        <f t="shared" si="2"/>
        <v>0</v>
      </c>
      <c r="P58" s="131">
        <f t="shared" si="3"/>
        <v>0</v>
      </c>
      <c r="Q58" s="131">
        <f t="shared" si="4"/>
        <v>35000</v>
      </c>
      <c r="R58" s="131">
        <f t="shared" si="52"/>
        <v>12850</v>
      </c>
      <c r="S58" s="131">
        <f t="shared" si="5"/>
        <v>203.46</v>
      </c>
      <c r="T58" s="131">
        <f t="shared" si="6"/>
        <v>0</v>
      </c>
      <c r="U58" s="131">
        <f t="shared" si="7"/>
        <v>0</v>
      </c>
      <c r="V58" s="131">
        <f t="shared" si="8"/>
        <v>12850</v>
      </c>
      <c r="W58" s="131">
        <f t="shared" si="53"/>
        <v>3240</v>
      </c>
      <c r="X58" s="131">
        <f t="shared" si="9"/>
        <v>64.8</v>
      </c>
      <c r="Y58" s="131">
        <f t="shared" si="10"/>
        <v>0</v>
      </c>
      <c r="Z58" s="131">
        <f t="shared" si="11"/>
        <v>200</v>
      </c>
      <c r="AA58" s="131">
        <f t="shared" si="12"/>
        <v>3040</v>
      </c>
      <c r="AB58" s="131">
        <f t="shared" si="54"/>
        <v>115000</v>
      </c>
      <c r="AC58" s="131">
        <f t="shared" si="13"/>
        <v>575</v>
      </c>
      <c r="AD58" s="131">
        <f t="shared" si="14"/>
        <v>0</v>
      </c>
      <c r="AE58" s="131">
        <f t="shared" si="15"/>
        <v>0</v>
      </c>
      <c r="AF58" s="131">
        <f t="shared" si="16"/>
        <v>115000</v>
      </c>
      <c r="AG58" s="131">
        <f t="shared" si="55"/>
        <v>12000</v>
      </c>
      <c r="AH58" s="131">
        <f t="shared" si="17"/>
        <v>50</v>
      </c>
      <c r="AI58" s="131">
        <f t="shared" si="18"/>
        <v>0</v>
      </c>
      <c r="AJ58" s="131">
        <f t="shared" si="19"/>
        <v>0</v>
      </c>
      <c r="AK58" s="131">
        <f t="shared" si="20"/>
        <v>12000</v>
      </c>
      <c r="AL58" s="131">
        <f t="shared" si="56"/>
        <v>19900.900000000001</v>
      </c>
      <c r="AM58" s="131">
        <f t="shared" si="21"/>
        <v>265.35000000000002</v>
      </c>
      <c r="AN58" s="131">
        <f t="shared" si="22"/>
        <v>124.64999999999998</v>
      </c>
      <c r="AO58" s="131">
        <f t="shared" si="23"/>
        <v>0</v>
      </c>
      <c r="AP58" s="131">
        <f t="shared" si="24"/>
        <v>19776.25</v>
      </c>
      <c r="AQ58" s="149">
        <f t="shared" si="57"/>
        <v>200</v>
      </c>
      <c r="AR58" s="149">
        <f t="shared" si="58"/>
        <v>10885.83</v>
      </c>
      <c r="AS58" s="133"/>
      <c r="AT58" s="132">
        <f t="shared" si="59"/>
        <v>6</v>
      </c>
      <c r="AU58" s="148">
        <f t="shared" si="25"/>
        <v>45838</v>
      </c>
      <c r="AV58" s="131">
        <f t="shared" si="60"/>
        <v>35000</v>
      </c>
      <c r="AW58" s="131">
        <f t="shared" si="26"/>
        <v>641.66999999999996</v>
      </c>
      <c r="AX58" s="131">
        <f t="shared" si="27"/>
        <v>0</v>
      </c>
      <c r="AY58" s="131">
        <f t="shared" si="28"/>
        <v>0</v>
      </c>
      <c r="AZ58" s="131">
        <f t="shared" si="29"/>
        <v>35000</v>
      </c>
      <c r="BA58" s="131">
        <f t="shared" si="61"/>
        <v>12850</v>
      </c>
      <c r="BB58" s="131">
        <f t="shared" si="30"/>
        <v>203.46</v>
      </c>
      <c r="BC58" s="131">
        <f t="shared" si="31"/>
        <v>0</v>
      </c>
      <c r="BD58" s="131">
        <f t="shared" si="32"/>
        <v>0</v>
      </c>
      <c r="BE58" s="131">
        <f t="shared" si="33"/>
        <v>12850</v>
      </c>
      <c r="BF58" s="131">
        <f t="shared" si="62"/>
        <v>3240</v>
      </c>
      <c r="BG58" s="131">
        <f t="shared" si="34"/>
        <v>64.8</v>
      </c>
      <c r="BH58" s="131">
        <f t="shared" si="35"/>
        <v>0</v>
      </c>
      <c r="BI58" s="131">
        <f t="shared" si="36"/>
        <v>200</v>
      </c>
      <c r="BJ58" s="131">
        <f t="shared" si="37"/>
        <v>3040</v>
      </c>
      <c r="BK58" s="131">
        <f t="shared" si="63"/>
        <v>115000</v>
      </c>
      <c r="BL58" s="131">
        <f t="shared" si="38"/>
        <v>575</v>
      </c>
      <c r="BM58" s="131">
        <f t="shared" si="39"/>
        <v>0</v>
      </c>
      <c r="BN58" s="131">
        <f t="shared" si="40"/>
        <v>0</v>
      </c>
      <c r="BO58" s="131">
        <f t="shared" si="41"/>
        <v>115000</v>
      </c>
      <c r="BP58" s="131">
        <f t="shared" si="64"/>
        <v>12000</v>
      </c>
      <c r="BQ58" s="131">
        <f t="shared" si="42"/>
        <v>50</v>
      </c>
      <c r="BR58" s="131">
        <f t="shared" si="43"/>
        <v>0</v>
      </c>
      <c r="BS58" s="131">
        <f t="shared" si="44"/>
        <v>0</v>
      </c>
      <c r="BT58" s="131">
        <f t="shared" si="45"/>
        <v>12000</v>
      </c>
      <c r="BU58" s="131">
        <f t="shared" si="65"/>
        <v>19900.900000000001</v>
      </c>
      <c r="BV58" s="131">
        <f t="shared" si="46"/>
        <v>265.35000000000002</v>
      </c>
      <c r="BW58" s="131">
        <f t="shared" si="47"/>
        <v>124.64999999999998</v>
      </c>
      <c r="BX58" s="131">
        <f t="shared" si="48"/>
        <v>0</v>
      </c>
      <c r="BY58" s="131">
        <f t="shared" si="49"/>
        <v>19776.25</v>
      </c>
      <c r="BZ58" s="147">
        <f t="shared" si="66"/>
        <v>200</v>
      </c>
      <c r="CA58" s="147">
        <f t="shared" si="67"/>
        <v>10885.83</v>
      </c>
    </row>
    <row r="59" spans="11:79">
      <c r="K59" s="152">
        <f t="shared" si="50"/>
        <v>7</v>
      </c>
      <c r="L59" s="151">
        <f t="shared" si="0"/>
        <v>45869</v>
      </c>
      <c r="M59" s="150">
        <f t="shared" si="51"/>
        <v>35000</v>
      </c>
      <c r="N59" s="150">
        <f t="shared" si="1"/>
        <v>641.66999999999996</v>
      </c>
      <c r="O59" s="150">
        <f t="shared" si="2"/>
        <v>0</v>
      </c>
      <c r="P59" s="150">
        <f t="shared" si="3"/>
        <v>0</v>
      </c>
      <c r="Q59" s="150">
        <f t="shared" si="4"/>
        <v>35000</v>
      </c>
      <c r="R59" s="150">
        <f t="shared" si="52"/>
        <v>12850</v>
      </c>
      <c r="S59" s="150">
        <f t="shared" si="5"/>
        <v>203.46</v>
      </c>
      <c r="T59" s="150">
        <f t="shared" si="6"/>
        <v>0</v>
      </c>
      <c r="U59" s="150">
        <f t="shared" si="7"/>
        <v>0</v>
      </c>
      <c r="V59" s="150">
        <f t="shared" si="8"/>
        <v>12850</v>
      </c>
      <c r="W59" s="150">
        <f t="shared" si="53"/>
        <v>3040</v>
      </c>
      <c r="X59" s="150">
        <f t="shared" si="9"/>
        <v>60.8</v>
      </c>
      <c r="Y59" s="150">
        <f t="shared" si="10"/>
        <v>0</v>
      </c>
      <c r="Z59" s="150">
        <f t="shared" si="11"/>
        <v>200</v>
      </c>
      <c r="AA59" s="150">
        <f t="shared" si="12"/>
        <v>2840</v>
      </c>
      <c r="AB59" s="150">
        <f t="shared" si="54"/>
        <v>115000</v>
      </c>
      <c r="AC59" s="150">
        <f t="shared" si="13"/>
        <v>575</v>
      </c>
      <c r="AD59" s="150">
        <f t="shared" si="14"/>
        <v>0</v>
      </c>
      <c r="AE59" s="150">
        <f t="shared" si="15"/>
        <v>0</v>
      </c>
      <c r="AF59" s="150">
        <f t="shared" si="16"/>
        <v>115000</v>
      </c>
      <c r="AG59" s="150">
        <f t="shared" si="55"/>
        <v>12000</v>
      </c>
      <c r="AH59" s="150">
        <f t="shared" si="17"/>
        <v>50</v>
      </c>
      <c r="AI59" s="150">
        <f t="shared" si="18"/>
        <v>0</v>
      </c>
      <c r="AJ59" s="150">
        <f t="shared" si="19"/>
        <v>0</v>
      </c>
      <c r="AK59" s="150">
        <f t="shared" si="20"/>
        <v>12000</v>
      </c>
      <c r="AL59" s="150">
        <f t="shared" si="56"/>
        <v>19776.25</v>
      </c>
      <c r="AM59" s="150">
        <f t="shared" si="21"/>
        <v>263.68</v>
      </c>
      <c r="AN59" s="150">
        <f t="shared" si="22"/>
        <v>126.32</v>
      </c>
      <c r="AO59" s="150">
        <f t="shared" si="23"/>
        <v>0</v>
      </c>
      <c r="AP59" s="150">
        <f t="shared" si="24"/>
        <v>19649.93</v>
      </c>
      <c r="AQ59" s="149">
        <f t="shared" si="57"/>
        <v>200</v>
      </c>
      <c r="AR59" s="149">
        <f t="shared" si="58"/>
        <v>12680.44</v>
      </c>
      <c r="AS59" s="133"/>
      <c r="AT59" s="152">
        <f t="shared" si="59"/>
        <v>7</v>
      </c>
      <c r="AU59" s="151">
        <f t="shared" si="25"/>
        <v>45869</v>
      </c>
      <c r="AV59" s="150">
        <f t="shared" si="60"/>
        <v>35000</v>
      </c>
      <c r="AW59" s="150">
        <f t="shared" si="26"/>
        <v>641.66999999999996</v>
      </c>
      <c r="AX59" s="150">
        <f t="shared" si="27"/>
        <v>0</v>
      </c>
      <c r="AY59" s="150">
        <f t="shared" si="28"/>
        <v>0</v>
      </c>
      <c r="AZ59" s="150">
        <f t="shared" si="29"/>
        <v>35000</v>
      </c>
      <c r="BA59" s="150">
        <f t="shared" si="61"/>
        <v>12850</v>
      </c>
      <c r="BB59" s="150">
        <f t="shared" si="30"/>
        <v>203.46</v>
      </c>
      <c r="BC59" s="150">
        <f t="shared" si="31"/>
        <v>0</v>
      </c>
      <c r="BD59" s="150">
        <f t="shared" si="32"/>
        <v>0</v>
      </c>
      <c r="BE59" s="150">
        <f t="shared" si="33"/>
        <v>12850</v>
      </c>
      <c r="BF59" s="150">
        <f t="shared" si="62"/>
        <v>3040</v>
      </c>
      <c r="BG59" s="150">
        <f t="shared" si="34"/>
        <v>60.8</v>
      </c>
      <c r="BH59" s="150">
        <f t="shared" si="35"/>
        <v>0</v>
      </c>
      <c r="BI59" s="150">
        <f t="shared" si="36"/>
        <v>200</v>
      </c>
      <c r="BJ59" s="150">
        <f t="shared" si="37"/>
        <v>2840</v>
      </c>
      <c r="BK59" s="150">
        <f t="shared" si="63"/>
        <v>115000</v>
      </c>
      <c r="BL59" s="150">
        <f t="shared" si="38"/>
        <v>575</v>
      </c>
      <c r="BM59" s="150">
        <f t="shared" si="39"/>
        <v>0</v>
      </c>
      <c r="BN59" s="150">
        <f t="shared" si="40"/>
        <v>0</v>
      </c>
      <c r="BO59" s="150">
        <f t="shared" si="41"/>
        <v>115000</v>
      </c>
      <c r="BP59" s="150">
        <f t="shared" si="64"/>
        <v>12000</v>
      </c>
      <c r="BQ59" s="150">
        <f t="shared" si="42"/>
        <v>50</v>
      </c>
      <c r="BR59" s="150">
        <f t="shared" si="43"/>
        <v>0</v>
      </c>
      <c r="BS59" s="150">
        <f t="shared" si="44"/>
        <v>0</v>
      </c>
      <c r="BT59" s="150">
        <f t="shared" si="45"/>
        <v>12000</v>
      </c>
      <c r="BU59" s="150">
        <f t="shared" si="65"/>
        <v>19776.25</v>
      </c>
      <c r="BV59" s="150">
        <f t="shared" si="46"/>
        <v>263.68</v>
      </c>
      <c r="BW59" s="150">
        <f t="shared" si="47"/>
        <v>126.32</v>
      </c>
      <c r="BX59" s="150">
        <f t="shared" si="48"/>
        <v>0</v>
      </c>
      <c r="BY59" s="150">
        <f t="shared" si="49"/>
        <v>19649.93</v>
      </c>
      <c r="BZ59" s="147">
        <f t="shared" si="66"/>
        <v>200</v>
      </c>
      <c r="CA59" s="147">
        <f t="shared" si="67"/>
        <v>12680.44</v>
      </c>
    </row>
    <row r="60" spans="11:79">
      <c r="K60" s="132">
        <f t="shared" si="50"/>
        <v>8</v>
      </c>
      <c r="L60" s="148">
        <f t="shared" si="0"/>
        <v>45900</v>
      </c>
      <c r="M60" s="131">
        <f t="shared" si="51"/>
        <v>35000</v>
      </c>
      <c r="N60" s="131">
        <f t="shared" si="1"/>
        <v>641.66999999999996</v>
      </c>
      <c r="O60" s="131">
        <f t="shared" si="2"/>
        <v>0</v>
      </c>
      <c r="P60" s="131">
        <f t="shared" si="3"/>
        <v>0</v>
      </c>
      <c r="Q60" s="131">
        <f t="shared" si="4"/>
        <v>35000</v>
      </c>
      <c r="R60" s="131">
        <f t="shared" si="52"/>
        <v>12850</v>
      </c>
      <c r="S60" s="131">
        <f t="shared" si="5"/>
        <v>203.46</v>
      </c>
      <c r="T60" s="131">
        <f t="shared" si="6"/>
        <v>0</v>
      </c>
      <c r="U60" s="131">
        <f t="shared" si="7"/>
        <v>0</v>
      </c>
      <c r="V60" s="131">
        <f t="shared" si="8"/>
        <v>12850</v>
      </c>
      <c r="W60" s="131">
        <f t="shared" si="53"/>
        <v>2840</v>
      </c>
      <c r="X60" s="131">
        <f t="shared" si="9"/>
        <v>56.8</v>
      </c>
      <c r="Y60" s="131">
        <f t="shared" si="10"/>
        <v>0</v>
      </c>
      <c r="Z60" s="131">
        <f t="shared" si="11"/>
        <v>200</v>
      </c>
      <c r="AA60" s="131">
        <f t="shared" si="12"/>
        <v>2640</v>
      </c>
      <c r="AB60" s="131">
        <f t="shared" si="54"/>
        <v>115000</v>
      </c>
      <c r="AC60" s="131">
        <f t="shared" si="13"/>
        <v>575</v>
      </c>
      <c r="AD60" s="131">
        <f t="shared" si="14"/>
        <v>0</v>
      </c>
      <c r="AE60" s="131">
        <f t="shared" si="15"/>
        <v>0</v>
      </c>
      <c r="AF60" s="131">
        <f t="shared" si="16"/>
        <v>115000</v>
      </c>
      <c r="AG60" s="131">
        <f t="shared" si="55"/>
        <v>12000</v>
      </c>
      <c r="AH60" s="131">
        <f t="shared" si="17"/>
        <v>50</v>
      </c>
      <c r="AI60" s="131">
        <f t="shared" si="18"/>
        <v>0</v>
      </c>
      <c r="AJ60" s="131">
        <f t="shared" si="19"/>
        <v>0</v>
      </c>
      <c r="AK60" s="131">
        <f t="shared" si="20"/>
        <v>12000</v>
      </c>
      <c r="AL60" s="131">
        <f t="shared" si="56"/>
        <v>19649.93</v>
      </c>
      <c r="AM60" s="131">
        <f t="shared" si="21"/>
        <v>262</v>
      </c>
      <c r="AN60" s="131">
        <f t="shared" si="22"/>
        <v>128</v>
      </c>
      <c r="AO60" s="131">
        <f t="shared" si="23"/>
        <v>0</v>
      </c>
      <c r="AP60" s="131">
        <f t="shared" si="24"/>
        <v>19521.93</v>
      </c>
      <c r="AQ60" s="149">
        <f t="shared" si="57"/>
        <v>200</v>
      </c>
      <c r="AR60" s="149">
        <f t="shared" si="58"/>
        <v>14469.37</v>
      </c>
      <c r="AS60" s="133"/>
      <c r="AT60" s="132">
        <f t="shared" si="59"/>
        <v>8</v>
      </c>
      <c r="AU60" s="148">
        <f t="shared" si="25"/>
        <v>45900</v>
      </c>
      <c r="AV60" s="131">
        <f t="shared" si="60"/>
        <v>35000</v>
      </c>
      <c r="AW60" s="131">
        <f t="shared" si="26"/>
        <v>641.66999999999996</v>
      </c>
      <c r="AX60" s="131">
        <f t="shared" si="27"/>
        <v>0</v>
      </c>
      <c r="AY60" s="131">
        <f t="shared" si="28"/>
        <v>0</v>
      </c>
      <c r="AZ60" s="131">
        <f t="shared" si="29"/>
        <v>35000</v>
      </c>
      <c r="BA60" s="131">
        <f t="shared" si="61"/>
        <v>12850</v>
      </c>
      <c r="BB60" s="131">
        <f t="shared" si="30"/>
        <v>203.46</v>
      </c>
      <c r="BC60" s="131">
        <f t="shared" si="31"/>
        <v>0</v>
      </c>
      <c r="BD60" s="131">
        <f t="shared" si="32"/>
        <v>0</v>
      </c>
      <c r="BE60" s="131">
        <f t="shared" si="33"/>
        <v>12850</v>
      </c>
      <c r="BF60" s="131">
        <f t="shared" si="62"/>
        <v>2840</v>
      </c>
      <c r="BG60" s="131">
        <f t="shared" si="34"/>
        <v>56.8</v>
      </c>
      <c r="BH60" s="131">
        <f t="shared" si="35"/>
        <v>0</v>
      </c>
      <c r="BI60" s="131">
        <f t="shared" si="36"/>
        <v>200</v>
      </c>
      <c r="BJ60" s="131">
        <f t="shared" si="37"/>
        <v>2640</v>
      </c>
      <c r="BK60" s="131">
        <f t="shared" si="63"/>
        <v>115000</v>
      </c>
      <c r="BL60" s="131">
        <f t="shared" si="38"/>
        <v>575</v>
      </c>
      <c r="BM60" s="131">
        <f t="shared" si="39"/>
        <v>0</v>
      </c>
      <c r="BN60" s="131">
        <f t="shared" si="40"/>
        <v>0</v>
      </c>
      <c r="BO60" s="131">
        <f t="shared" si="41"/>
        <v>115000</v>
      </c>
      <c r="BP60" s="131">
        <f t="shared" si="64"/>
        <v>12000</v>
      </c>
      <c r="BQ60" s="131">
        <f t="shared" si="42"/>
        <v>50</v>
      </c>
      <c r="BR60" s="131">
        <f t="shared" si="43"/>
        <v>0</v>
      </c>
      <c r="BS60" s="131">
        <f t="shared" si="44"/>
        <v>0</v>
      </c>
      <c r="BT60" s="131">
        <f t="shared" si="45"/>
        <v>12000</v>
      </c>
      <c r="BU60" s="131">
        <f t="shared" si="65"/>
        <v>19649.93</v>
      </c>
      <c r="BV60" s="131">
        <f t="shared" si="46"/>
        <v>262</v>
      </c>
      <c r="BW60" s="131">
        <f t="shared" si="47"/>
        <v>128</v>
      </c>
      <c r="BX60" s="131">
        <f t="shared" si="48"/>
        <v>0</v>
      </c>
      <c r="BY60" s="131">
        <f t="shared" si="49"/>
        <v>19521.93</v>
      </c>
      <c r="BZ60" s="147">
        <f t="shared" si="66"/>
        <v>200</v>
      </c>
      <c r="CA60" s="147">
        <f t="shared" si="67"/>
        <v>14469.37</v>
      </c>
    </row>
    <row r="61" spans="11:79">
      <c r="K61" s="152">
        <f t="shared" si="50"/>
        <v>9</v>
      </c>
      <c r="L61" s="151">
        <f t="shared" si="0"/>
        <v>45930</v>
      </c>
      <c r="M61" s="150">
        <f t="shared" si="51"/>
        <v>35000</v>
      </c>
      <c r="N61" s="150">
        <f t="shared" si="1"/>
        <v>641.66999999999996</v>
      </c>
      <c r="O61" s="150">
        <f t="shared" si="2"/>
        <v>0</v>
      </c>
      <c r="P61" s="150">
        <f t="shared" si="3"/>
        <v>0</v>
      </c>
      <c r="Q61" s="150">
        <f t="shared" si="4"/>
        <v>35000</v>
      </c>
      <c r="R61" s="150">
        <f t="shared" si="52"/>
        <v>12850</v>
      </c>
      <c r="S61" s="150">
        <f t="shared" si="5"/>
        <v>203.46</v>
      </c>
      <c r="T61" s="150">
        <f t="shared" si="6"/>
        <v>0</v>
      </c>
      <c r="U61" s="150">
        <f t="shared" si="7"/>
        <v>0</v>
      </c>
      <c r="V61" s="150">
        <f t="shared" si="8"/>
        <v>12850</v>
      </c>
      <c r="W61" s="150">
        <f t="shared" si="53"/>
        <v>2640</v>
      </c>
      <c r="X61" s="150">
        <f t="shared" si="9"/>
        <v>52.8</v>
      </c>
      <c r="Y61" s="150">
        <f t="shared" si="10"/>
        <v>0</v>
      </c>
      <c r="Z61" s="150">
        <f t="shared" si="11"/>
        <v>200</v>
      </c>
      <c r="AA61" s="150">
        <f t="shared" si="12"/>
        <v>2440</v>
      </c>
      <c r="AB61" s="150">
        <f t="shared" si="54"/>
        <v>115000</v>
      </c>
      <c r="AC61" s="150">
        <f t="shared" si="13"/>
        <v>575</v>
      </c>
      <c r="AD61" s="150">
        <f t="shared" si="14"/>
        <v>0</v>
      </c>
      <c r="AE61" s="150">
        <f t="shared" si="15"/>
        <v>0</v>
      </c>
      <c r="AF61" s="150">
        <f t="shared" si="16"/>
        <v>115000</v>
      </c>
      <c r="AG61" s="150">
        <f t="shared" si="55"/>
        <v>12000</v>
      </c>
      <c r="AH61" s="150">
        <f t="shared" si="17"/>
        <v>50</v>
      </c>
      <c r="AI61" s="150">
        <f t="shared" si="18"/>
        <v>0</v>
      </c>
      <c r="AJ61" s="150">
        <f t="shared" si="19"/>
        <v>0</v>
      </c>
      <c r="AK61" s="150">
        <f t="shared" si="20"/>
        <v>12000</v>
      </c>
      <c r="AL61" s="150">
        <f t="shared" si="56"/>
        <v>19521.93</v>
      </c>
      <c r="AM61" s="150">
        <f t="shared" si="21"/>
        <v>260.29000000000002</v>
      </c>
      <c r="AN61" s="150">
        <f t="shared" si="22"/>
        <v>129.70999999999998</v>
      </c>
      <c r="AO61" s="150">
        <f t="shared" si="23"/>
        <v>0</v>
      </c>
      <c r="AP61" s="150">
        <f t="shared" si="24"/>
        <v>19392.22</v>
      </c>
      <c r="AQ61" s="149">
        <f t="shared" si="57"/>
        <v>200</v>
      </c>
      <c r="AR61" s="149">
        <f t="shared" si="58"/>
        <v>16252.59</v>
      </c>
      <c r="AS61" s="133"/>
      <c r="AT61" s="152">
        <f t="shared" si="59"/>
        <v>9</v>
      </c>
      <c r="AU61" s="151">
        <f t="shared" si="25"/>
        <v>45930</v>
      </c>
      <c r="AV61" s="150">
        <f t="shared" si="60"/>
        <v>35000</v>
      </c>
      <c r="AW61" s="150">
        <f t="shared" si="26"/>
        <v>641.66999999999996</v>
      </c>
      <c r="AX61" s="150">
        <f t="shared" si="27"/>
        <v>0</v>
      </c>
      <c r="AY61" s="150">
        <f t="shared" si="28"/>
        <v>0</v>
      </c>
      <c r="AZ61" s="150">
        <f t="shared" si="29"/>
        <v>35000</v>
      </c>
      <c r="BA61" s="150">
        <f t="shared" si="61"/>
        <v>12850</v>
      </c>
      <c r="BB61" s="150">
        <f t="shared" si="30"/>
        <v>203.46</v>
      </c>
      <c r="BC61" s="150">
        <f t="shared" si="31"/>
        <v>0</v>
      </c>
      <c r="BD61" s="150">
        <f t="shared" si="32"/>
        <v>0</v>
      </c>
      <c r="BE61" s="150">
        <f t="shared" si="33"/>
        <v>12850</v>
      </c>
      <c r="BF61" s="150">
        <f t="shared" si="62"/>
        <v>2640</v>
      </c>
      <c r="BG61" s="150">
        <f t="shared" si="34"/>
        <v>52.8</v>
      </c>
      <c r="BH61" s="150">
        <f t="shared" si="35"/>
        <v>0</v>
      </c>
      <c r="BI61" s="150">
        <f t="shared" si="36"/>
        <v>200</v>
      </c>
      <c r="BJ61" s="150">
        <f t="shared" si="37"/>
        <v>2440</v>
      </c>
      <c r="BK61" s="150">
        <f t="shared" si="63"/>
        <v>115000</v>
      </c>
      <c r="BL61" s="150">
        <f t="shared" si="38"/>
        <v>575</v>
      </c>
      <c r="BM61" s="150">
        <f t="shared" si="39"/>
        <v>0</v>
      </c>
      <c r="BN61" s="150">
        <f t="shared" si="40"/>
        <v>0</v>
      </c>
      <c r="BO61" s="150">
        <f t="shared" si="41"/>
        <v>115000</v>
      </c>
      <c r="BP61" s="150">
        <f t="shared" si="64"/>
        <v>12000</v>
      </c>
      <c r="BQ61" s="150">
        <f t="shared" si="42"/>
        <v>50</v>
      </c>
      <c r="BR61" s="150">
        <f t="shared" si="43"/>
        <v>0</v>
      </c>
      <c r="BS61" s="150">
        <f t="shared" si="44"/>
        <v>0</v>
      </c>
      <c r="BT61" s="150">
        <f t="shared" si="45"/>
        <v>12000</v>
      </c>
      <c r="BU61" s="150">
        <f t="shared" si="65"/>
        <v>19521.93</v>
      </c>
      <c r="BV61" s="150">
        <f t="shared" si="46"/>
        <v>260.29000000000002</v>
      </c>
      <c r="BW61" s="150">
        <f t="shared" si="47"/>
        <v>129.70999999999998</v>
      </c>
      <c r="BX61" s="150">
        <f t="shared" si="48"/>
        <v>0</v>
      </c>
      <c r="BY61" s="150">
        <f t="shared" si="49"/>
        <v>19392.22</v>
      </c>
      <c r="BZ61" s="147">
        <f t="shared" si="66"/>
        <v>200</v>
      </c>
      <c r="CA61" s="147">
        <f t="shared" si="67"/>
        <v>16252.59</v>
      </c>
    </row>
    <row r="62" spans="11:79">
      <c r="K62" s="132">
        <f t="shared" si="50"/>
        <v>10</v>
      </c>
      <c r="L62" s="148">
        <f t="shared" si="0"/>
        <v>45961</v>
      </c>
      <c r="M62" s="131">
        <f t="shared" si="51"/>
        <v>35000</v>
      </c>
      <c r="N62" s="131">
        <f t="shared" si="1"/>
        <v>641.66999999999996</v>
      </c>
      <c r="O62" s="131">
        <f t="shared" si="2"/>
        <v>0</v>
      </c>
      <c r="P62" s="131">
        <f t="shared" si="3"/>
        <v>0</v>
      </c>
      <c r="Q62" s="131">
        <f t="shared" si="4"/>
        <v>35000</v>
      </c>
      <c r="R62" s="131">
        <f t="shared" si="52"/>
        <v>12850</v>
      </c>
      <c r="S62" s="131">
        <f t="shared" si="5"/>
        <v>203.46</v>
      </c>
      <c r="T62" s="131">
        <f t="shared" si="6"/>
        <v>0</v>
      </c>
      <c r="U62" s="131">
        <f t="shared" si="7"/>
        <v>0</v>
      </c>
      <c r="V62" s="131">
        <f t="shared" si="8"/>
        <v>12850</v>
      </c>
      <c r="W62" s="131">
        <f t="shared" si="53"/>
        <v>2440</v>
      </c>
      <c r="X62" s="131">
        <f t="shared" si="9"/>
        <v>48.8</v>
      </c>
      <c r="Y62" s="131">
        <f t="shared" si="10"/>
        <v>0</v>
      </c>
      <c r="Z62" s="131">
        <f t="shared" si="11"/>
        <v>200</v>
      </c>
      <c r="AA62" s="131">
        <f t="shared" si="12"/>
        <v>2240</v>
      </c>
      <c r="AB62" s="131">
        <f t="shared" si="54"/>
        <v>115000</v>
      </c>
      <c r="AC62" s="131">
        <f t="shared" si="13"/>
        <v>575</v>
      </c>
      <c r="AD62" s="131">
        <f t="shared" si="14"/>
        <v>0</v>
      </c>
      <c r="AE62" s="131">
        <f t="shared" si="15"/>
        <v>0</v>
      </c>
      <c r="AF62" s="131">
        <f t="shared" si="16"/>
        <v>115000</v>
      </c>
      <c r="AG62" s="131">
        <f t="shared" si="55"/>
        <v>12000</v>
      </c>
      <c r="AH62" s="131">
        <f t="shared" si="17"/>
        <v>50</v>
      </c>
      <c r="AI62" s="131">
        <f t="shared" si="18"/>
        <v>0</v>
      </c>
      <c r="AJ62" s="131">
        <f t="shared" si="19"/>
        <v>0</v>
      </c>
      <c r="AK62" s="131">
        <f t="shared" si="20"/>
        <v>12000</v>
      </c>
      <c r="AL62" s="131">
        <f t="shared" si="56"/>
        <v>19392.22</v>
      </c>
      <c r="AM62" s="131">
        <f t="shared" si="21"/>
        <v>258.56</v>
      </c>
      <c r="AN62" s="131">
        <f t="shared" si="22"/>
        <v>131.44</v>
      </c>
      <c r="AO62" s="131">
        <f t="shared" si="23"/>
        <v>0</v>
      </c>
      <c r="AP62" s="131">
        <f t="shared" si="24"/>
        <v>19260.78</v>
      </c>
      <c r="AQ62" s="149">
        <f t="shared" si="57"/>
        <v>200</v>
      </c>
      <c r="AR62" s="149">
        <f t="shared" si="58"/>
        <v>18030.080000000002</v>
      </c>
      <c r="AS62" s="133"/>
      <c r="AT62" s="132">
        <f t="shared" si="59"/>
        <v>10</v>
      </c>
      <c r="AU62" s="148">
        <f t="shared" si="25"/>
        <v>45961</v>
      </c>
      <c r="AV62" s="131">
        <f t="shared" si="60"/>
        <v>35000</v>
      </c>
      <c r="AW62" s="131">
        <f t="shared" si="26"/>
        <v>641.66999999999996</v>
      </c>
      <c r="AX62" s="131">
        <f t="shared" si="27"/>
        <v>0</v>
      </c>
      <c r="AY62" s="131">
        <f t="shared" si="28"/>
        <v>0</v>
      </c>
      <c r="AZ62" s="131">
        <f t="shared" si="29"/>
        <v>35000</v>
      </c>
      <c r="BA62" s="131">
        <f t="shared" si="61"/>
        <v>12850</v>
      </c>
      <c r="BB62" s="131">
        <f t="shared" si="30"/>
        <v>203.46</v>
      </c>
      <c r="BC62" s="131">
        <f t="shared" si="31"/>
        <v>0</v>
      </c>
      <c r="BD62" s="131">
        <f t="shared" si="32"/>
        <v>0</v>
      </c>
      <c r="BE62" s="131">
        <f t="shared" si="33"/>
        <v>12850</v>
      </c>
      <c r="BF62" s="131">
        <f t="shared" si="62"/>
        <v>2440</v>
      </c>
      <c r="BG62" s="131">
        <f t="shared" si="34"/>
        <v>48.8</v>
      </c>
      <c r="BH62" s="131">
        <f t="shared" si="35"/>
        <v>0</v>
      </c>
      <c r="BI62" s="131">
        <f t="shared" si="36"/>
        <v>200</v>
      </c>
      <c r="BJ62" s="131">
        <f t="shared" si="37"/>
        <v>2240</v>
      </c>
      <c r="BK62" s="131">
        <f t="shared" si="63"/>
        <v>115000</v>
      </c>
      <c r="BL62" s="131">
        <f t="shared" si="38"/>
        <v>575</v>
      </c>
      <c r="BM62" s="131">
        <f t="shared" si="39"/>
        <v>0</v>
      </c>
      <c r="BN62" s="131">
        <f t="shared" si="40"/>
        <v>0</v>
      </c>
      <c r="BO62" s="131">
        <f t="shared" si="41"/>
        <v>115000</v>
      </c>
      <c r="BP62" s="131">
        <f t="shared" si="64"/>
        <v>12000</v>
      </c>
      <c r="BQ62" s="131">
        <f t="shared" si="42"/>
        <v>50</v>
      </c>
      <c r="BR62" s="131">
        <f t="shared" si="43"/>
        <v>0</v>
      </c>
      <c r="BS62" s="131">
        <f t="shared" si="44"/>
        <v>0</v>
      </c>
      <c r="BT62" s="131">
        <f t="shared" si="45"/>
        <v>12000</v>
      </c>
      <c r="BU62" s="131">
        <f t="shared" si="65"/>
        <v>19392.22</v>
      </c>
      <c r="BV62" s="131">
        <f t="shared" si="46"/>
        <v>258.56</v>
      </c>
      <c r="BW62" s="131">
        <f t="shared" si="47"/>
        <v>131.44</v>
      </c>
      <c r="BX62" s="131">
        <f t="shared" si="48"/>
        <v>0</v>
      </c>
      <c r="BY62" s="131">
        <f t="shared" si="49"/>
        <v>19260.78</v>
      </c>
      <c r="BZ62" s="147">
        <f t="shared" si="66"/>
        <v>200</v>
      </c>
      <c r="CA62" s="147">
        <f t="shared" si="67"/>
        <v>18030.080000000002</v>
      </c>
    </row>
    <row r="63" spans="11:79">
      <c r="K63" s="152">
        <f t="shared" si="50"/>
        <v>11</v>
      </c>
      <c r="L63" s="151">
        <f t="shared" si="0"/>
        <v>45991</v>
      </c>
      <c r="M63" s="150">
        <f t="shared" si="51"/>
        <v>35000</v>
      </c>
      <c r="N63" s="150">
        <f t="shared" si="1"/>
        <v>641.66999999999996</v>
      </c>
      <c r="O63" s="150">
        <f t="shared" si="2"/>
        <v>0</v>
      </c>
      <c r="P63" s="150">
        <f t="shared" si="3"/>
        <v>0</v>
      </c>
      <c r="Q63" s="150">
        <f t="shared" si="4"/>
        <v>35000</v>
      </c>
      <c r="R63" s="150">
        <f t="shared" si="52"/>
        <v>12850</v>
      </c>
      <c r="S63" s="150">
        <f t="shared" si="5"/>
        <v>203.46</v>
      </c>
      <c r="T63" s="150">
        <f t="shared" si="6"/>
        <v>0</v>
      </c>
      <c r="U63" s="150">
        <f t="shared" si="7"/>
        <v>0</v>
      </c>
      <c r="V63" s="150">
        <f t="shared" si="8"/>
        <v>12850</v>
      </c>
      <c r="W63" s="150">
        <f t="shared" si="53"/>
        <v>2240</v>
      </c>
      <c r="X63" s="150">
        <f t="shared" si="9"/>
        <v>44.8</v>
      </c>
      <c r="Y63" s="150">
        <f t="shared" si="10"/>
        <v>0</v>
      </c>
      <c r="Z63" s="150">
        <f t="shared" si="11"/>
        <v>200</v>
      </c>
      <c r="AA63" s="150">
        <f t="shared" si="12"/>
        <v>2040</v>
      </c>
      <c r="AB63" s="150">
        <f t="shared" si="54"/>
        <v>115000</v>
      </c>
      <c r="AC63" s="150">
        <f t="shared" si="13"/>
        <v>575</v>
      </c>
      <c r="AD63" s="150">
        <f t="shared" si="14"/>
        <v>0</v>
      </c>
      <c r="AE63" s="150">
        <f t="shared" si="15"/>
        <v>0</v>
      </c>
      <c r="AF63" s="150">
        <f t="shared" si="16"/>
        <v>115000</v>
      </c>
      <c r="AG63" s="150">
        <f t="shared" si="55"/>
        <v>12000</v>
      </c>
      <c r="AH63" s="150">
        <f t="shared" si="17"/>
        <v>50</v>
      </c>
      <c r="AI63" s="150">
        <f t="shared" si="18"/>
        <v>0</v>
      </c>
      <c r="AJ63" s="150">
        <f t="shared" si="19"/>
        <v>0</v>
      </c>
      <c r="AK63" s="150">
        <f t="shared" si="20"/>
        <v>12000</v>
      </c>
      <c r="AL63" s="150">
        <f t="shared" si="56"/>
        <v>19260.78</v>
      </c>
      <c r="AM63" s="150">
        <f t="shared" si="21"/>
        <v>256.81</v>
      </c>
      <c r="AN63" s="150">
        <f t="shared" si="22"/>
        <v>133.19</v>
      </c>
      <c r="AO63" s="150">
        <f t="shared" si="23"/>
        <v>0</v>
      </c>
      <c r="AP63" s="150">
        <f t="shared" si="24"/>
        <v>19127.59</v>
      </c>
      <c r="AQ63" s="149">
        <f t="shared" si="57"/>
        <v>200</v>
      </c>
      <c r="AR63" s="149">
        <f t="shared" si="58"/>
        <v>19801.820000000003</v>
      </c>
      <c r="AS63" s="133"/>
      <c r="AT63" s="152">
        <f t="shared" si="59"/>
        <v>11</v>
      </c>
      <c r="AU63" s="151">
        <f t="shared" si="25"/>
        <v>45991</v>
      </c>
      <c r="AV63" s="150">
        <f t="shared" si="60"/>
        <v>35000</v>
      </c>
      <c r="AW63" s="150">
        <f t="shared" si="26"/>
        <v>641.66999999999996</v>
      </c>
      <c r="AX63" s="150">
        <f t="shared" si="27"/>
        <v>0</v>
      </c>
      <c r="AY63" s="150">
        <f t="shared" si="28"/>
        <v>0</v>
      </c>
      <c r="AZ63" s="150">
        <f t="shared" si="29"/>
        <v>35000</v>
      </c>
      <c r="BA63" s="150">
        <f t="shared" si="61"/>
        <v>12850</v>
      </c>
      <c r="BB63" s="150">
        <f t="shared" si="30"/>
        <v>203.46</v>
      </c>
      <c r="BC63" s="150">
        <f t="shared" si="31"/>
        <v>0</v>
      </c>
      <c r="BD63" s="150">
        <f t="shared" si="32"/>
        <v>0</v>
      </c>
      <c r="BE63" s="150">
        <f t="shared" si="33"/>
        <v>12850</v>
      </c>
      <c r="BF63" s="150">
        <f t="shared" si="62"/>
        <v>2240</v>
      </c>
      <c r="BG63" s="150">
        <f t="shared" si="34"/>
        <v>44.8</v>
      </c>
      <c r="BH63" s="150">
        <f t="shared" si="35"/>
        <v>0</v>
      </c>
      <c r="BI63" s="150">
        <f t="shared" si="36"/>
        <v>200</v>
      </c>
      <c r="BJ63" s="150">
        <f t="shared" si="37"/>
        <v>2040</v>
      </c>
      <c r="BK63" s="150">
        <f t="shared" si="63"/>
        <v>115000</v>
      </c>
      <c r="BL63" s="150">
        <f t="shared" si="38"/>
        <v>575</v>
      </c>
      <c r="BM63" s="150">
        <f t="shared" si="39"/>
        <v>0</v>
      </c>
      <c r="BN63" s="150">
        <f t="shared" si="40"/>
        <v>0</v>
      </c>
      <c r="BO63" s="150">
        <f t="shared" si="41"/>
        <v>115000</v>
      </c>
      <c r="BP63" s="150">
        <f t="shared" si="64"/>
        <v>12000</v>
      </c>
      <c r="BQ63" s="150">
        <f t="shared" si="42"/>
        <v>50</v>
      </c>
      <c r="BR63" s="150">
        <f t="shared" si="43"/>
        <v>0</v>
      </c>
      <c r="BS63" s="150">
        <f t="shared" si="44"/>
        <v>0</v>
      </c>
      <c r="BT63" s="150">
        <f t="shared" si="45"/>
        <v>12000</v>
      </c>
      <c r="BU63" s="150">
        <f t="shared" si="65"/>
        <v>19260.78</v>
      </c>
      <c r="BV63" s="150">
        <f t="shared" si="46"/>
        <v>256.81</v>
      </c>
      <c r="BW63" s="150">
        <f t="shared" si="47"/>
        <v>133.19</v>
      </c>
      <c r="BX63" s="150">
        <f t="shared" si="48"/>
        <v>0</v>
      </c>
      <c r="BY63" s="150">
        <f t="shared" si="49"/>
        <v>19127.59</v>
      </c>
      <c r="BZ63" s="147">
        <f t="shared" si="66"/>
        <v>200</v>
      </c>
      <c r="CA63" s="147">
        <f t="shared" si="67"/>
        <v>19801.820000000003</v>
      </c>
    </row>
    <row r="64" spans="11:79">
      <c r="K64" s="132">
        <f t="shared" si="50"/>
        <v>12</v>
      </c>
      <c r="L64" s="148">
        <f t="shared" si="0"/>
        <v>46022</v>
      </c>
      <c r="M64" s="131">
        <f t="shared" si="51"/>
        <v>35000</v>
      </c>
      <c r="N64" s="131">
        <f t="shared" si="1"/>
        <v>641.66999999999996</v>
      </c>
      <c r="O64" s="131">
        <f t="shared" si="2"/>
        <v>0</v>
      </c>
      <c r="P64" s="131">
        <f t="shared" si="3"/>
        <v>0</v>
      </c>
      <c r="Q64" s="131">
        <f t="shared" si="4"/>
        <v>35000</v>
      </c>
      <c r="R64" s="131">
        <f t="shared" si="52"/>
        <v>12850</v>
      </c>
      <c r="S64" s="131">
        <f t="shared" si="5"/>
        <v>203.46</v>
      </c>
      <c r="T64" s="131">
        <f t="shared" si="6"/>
        <v>0</v>
      </c>
      <c r="U64" s="131">
        <f t="shared" si="7"/>
        <v>0</v>
      </c>
      <c r="V64" s="131">
        <f t="shared" si="8"/>
        <v>12850</v>
      </c>
      <c r="W64" s="131">
        <f t="shared" si="53"/>
        <v>2040</v>
      </c>
      <c r="X64" s="131">
        <f t="shared" si="9"/>
        <v>40.799999999999997</v>
      </c>
      <c r="Y64" s="131">
        <f t="shared" si="10"/>
        <v>0</v>
      </c>
      <c r="Z64" s="131">
        <f t="shared" si="11"/>
        <v>200</v>
      </c>
      <c r="AA64" s="131">
        <f t="shared" si="12"/>
        <v>1840</v>
      </c>
      <c r="AB64" s="131">
        <f t="shared" si="54"/>
        <v>115000</v>
      </c>
      <c r="AC64" s="131">
        <f t="shared" si="13"/>
        <v>575</v>
      </c>
      <c r="AD64" s="131">
        <f t="shared" si="14"/>
        <v>0</v>
      </c>
      <c r="AE64" s="131">
        <f t="shared" si="15"/>
        <v>0</v>
      </c>
      <c r="AF64" s="131">
        <f t="shared" si="16"/>
        <v>115000</v>
      </c>
      <c r="AG64" s="131">
        <f t="shared" si="55"/>
        <v>12000</v>
      </c>
      <c r="AH64" s="131">
        <f t="shared" si="17"/>
        <v>50</v>
      </c>
      <c r="AI64" s="131">
        <f t="shared" si="18"/>
        <v>0</v>
      </c>
      <c r="AJ64" s="131">
        <f t="shared" si="19"/>
        <v>0</v>
      </c>
      <c r="AK64" s="131">
        <f t="shared" si="20"/>
        <v>12000</v>
      </c>
      <c r="AL64" s="131">
        <f t="shared" si="56"/>
        <v>19127.59</v>
      </c>
      <c r="AM64" s="131">
        <f t="shared" si="21"/>
        <v>255.03</v>
      </c>
      <c r="AN64" s="131">
        <f t="shared" si="22"/>
        <v>134.97</v>
      </c>
      <c r="AO64" s="131">
        <f t="shared" si="23"/>
        <v>0</v>
      </c>
      <c r="AP64" s="131">
        <f t="shared" si="24"/>
        <v>18992.62</v>
      </c>
      <c r="AQ64" s="149">
        <f t="shared" si="57"/>
        <v>200</v>
      </c>
      <c r="AR64" s="149">
        <f t="shared" si="58"/>
        <v>21567.780000000002</v>
      </c>
      <c r="AS64" s="133"/>
      <c r="AT64" s="132">
        <f t="shared" si="59"/>
        <v>12</v>
      </c>
      <c r="AU64" s="148">
        <f t="shared" si="25"/>
        <v>46022</v>
      </c>
      <c r="AV64" s="131">
        <f t="shared" si="60"/>
        <v>35000</v>
      </c>
      <c r="AW64" s="131">
        <f t="shared" si="26"/>
        <v>641.66999999999996</v>
      </c>
      <c r="AX64" s="131">
        <f t="shared" si="27"/>
        <v>0</v>
      </c>
      <c r="AY64" s="131">
        <f t="shared" si="28"/>
        <v>0</v>
      </c>
      <c r="AZ64" s="131">
        <f t="shared" si="29"/>
        <v>35000</v>
      </c>
      <c r="BA64" s="131">
        <f t="shared" si="61"/>
        <v>12850</v>
      </c>
      <c r="BB64" s="131">
        <f t="shared" si="30"/>
        <v>203.46</v>
      </c>
      <c r="BC64" s="131">
        <f t="shared" si="31"/>
        <v>0</v>
      </c>
      <c r="BD64" s="131">
        <f t="shared" si="32"/>
        <v>0</v>
      </c>
      <c r="BE64" s="131">
        <f t="shared" si="33"/>
        <v>12850</v>
      </c>
      <c r="BF64" s="131">
        <f t="shared" si="62"/>
        <v>2040</v>
      </c>
      <c r="BG64" s="131">
        <f t="shared" si="34"/>
        <v>40.799999999999997</v>
      </c>
      <c r="BH64" s="131">
        <f t="shared" si="35"/>
        <v>0</v>
      </c>
      <c r="BI64" s="131">
        <f t="shared" si="36"/>
        <v>200</v>
      </c>
      <c r="BJ64" s="131">
        <f t="shared" si="37"/>
        <v>1840</v>
      </c>
      <c r="BK64" s="131">
        <f t="shared" si="63"/>
        <v>115000</v>
      </c>
      <c r="BL64" s="131">
        <f t="shared" si="38"/>
        <v>575</v>
      </c>
      <c r="BM64" s="131">
        <f t="shared" si="39"/>
        <v>0</v>
      </c>
      <c r="BN64" s="131">
        <f t="shared" si="40"/>
        <v>0</v>
      </c>
      <c r="BO64" s="131">
        <f t="shared" si="41"/>
        <v>115000</v>
      </c>
      <c r="BP64" s="131">
        <f t="shared" si="64"/>
        <v>12000</v>
      </c>
      <c r="BQ64" s="131">
        <f t="shared" si="42"/>
        <v>50</v>
      </c>
      <c r="BR64" s="131">
        <f t="shared" si="43"/>
        <v>0</v>
      </c>
      <c r="BS64" s="131">
        <f t="shared" si="44"/>
        <v>0</v>
      </c>
      <c r="BT64" s="131">
        <f t="shared" si="45"/>
        <v>12000</v>
      </c>
      <c r="BU64" s="131">
        <f t="shared" si="65"/>
        <v>19127.59</v>
      </c>
      <c r="BV64" s="131">
        <f t="shared" si="46"/>
        <v>255.03</v>
      </c>
      <c r="BW64" s="131">
        <f t="shared" si="47"/>
        <v>134.97</v>
      </c>
      <c r="BX64" s="131">
        <f t="shared" si="48"/>
        <v>0</v>
      </c>
      <c r="BY64" s="131">
        <f t="shared" si="49"/>
        <v>18992.62</v>
      </c>
      <c r="BZ64" s="147">
        <f t="shared" si="66"/>
        <v>200</v>
      </c>
      <c r="CA64" s="147">
        <f t="shared" si="67"/>
        <v>21567.780000000002</v>
      </c>
    </row>
    <row r="65" spans="11:79">
      <c r="K65" s="152">
        <f t="shared" si="50"/>
        <v>13</v>
      </c>
      <c r="L65" s="151">
        <f t="shared" si="0"/>
        <v>46053</v>
      </c>
      <c r="M65" s="150">
        <f t="shared" si="51"/>
        <v>35000</v>
      </c>
      <c r="N65" s="150">
        <f t="shared" si="1"/>
        <v>641.66999999999996</v>
      </c>
      <c r="O65" s="150">
        <f t="shared" si="2"/>
        <v>0</v>
      </c>
      <c r="P65" s="150">
        <f t="shared" si="3"/>
        <v>0</v>
      </c>
      <c r="Q65" s="150">
        <f t="shared" si="4"/>
        <v>35000</v>
      </c>
      <c r="R65" s="150">
        <f t="shared" si="52"/>
        <v>12850</v>
      </c>
      <c r="S65" s="150">
        <f t="shared" si="5"/>
        <v>203.46</v>
      </c>
      <c r="T65" s="150">
        <f t="shared" si="6"/>
        <v>0</v>
      </c>
      <c r="U65" s="150">
        <f t="shared" si="7"/>
        <v>0</v>
      </c>
      <c r="V65" s="150">
        <f t="shared" si="8"/>
        <v>12850</v>
      </c>
      <c r="W65" s="150">
        <f t="shared" si="53"/>
        <v>1840</v>
      </c>
      <c r="X65" s="150">
        <f t="shared" si="9"/>
        <v>36.799999999999997</v>
      </c>
      <c r="Y65" s="150">
        <f t="shared" si="10"/>
        <v>0</v>
      </c>
      <c r="Z65" s="150">
        <f t="shared" si="11"/>
        <v>200</v>
      </c>
      <c r="AA65" s="150">
        <f t="shared" si="12"/>
        <v>1640</v>
      </c>
      <c r="AB65" s="150">
        <f t="shared" si="54"/>
        <v>115000</v>
      </c>
      <c r="AC65" s="150">
        <f t="shared" si="13"/>
        <v>575</v>
      </c>
      <c r="AD65" s="150">
        <f t="shared" si="14"/>
        <v>0</v>
      </c>
      <c r="AE65" s="150">
        <f t="shared" si="15"/>
        <v>0</v>
      </c>
      <c r="AF65" s="150">
        <f t="shared" si="16"/>
        <v>115000</v>
      </c>
      <c r="AG65" s="150">
        <f t="shared" si="55"/>
        <v>12000</v>
      </c>
      <c r="AH65" s="150">
        <f t="shared" si="17"/>
        <v>50</v>
      </c>
      <c r="AI65" s="150">
        <f t="shared" si="18"/>
        <v>0</v>
      </c>
      <c r="AJ65" s="150">
        <f t="shared" si="19"/>
        <v>0</v>
      </c>
      <c r="AK65" s="150">
        <f t="shared" si="20"/>
        <v>12000</v>
      </c>
      <c r="AL65" s="150">
        <f t="shared" si="56"/>
        <v>18992.62</v>
      </c>
      <c r="AM65" s="150">
        <f t="shared" si="21"/>
        <v>253.23</v>
      </c>
      <c r="AN65" s="150">
        <f t="shared" si="22"/>
        <v>136.77000000000001</v>
      </c>
      <c r="AO65" s="150">
        <f t="shared" si="23"/>
        <v>0</v>
      </c>
      <c r="AP65" s="150">
        <f t="shared" si="24"/>
        <v>18855.849999999999</v>
      </c>
      <c r="AQ65" s="149">
        <f t="shared" si="57"/>
        <v>200</v>
      </c>
      <c r="AR65" s="149">
        <f t="shared" si="58"/>
        <v>23327.940000000002</v>
      </c>
      <c r="AS65" s="133"/>
      <c r="AT65" s="152">
        <f t="shared" si="59"/>
        <v>13</v>
      </c>
      <c r="AU65" s="151">
        <f t="shared" si="25"/>
        <v>46053</v>
      </c>
      <c r="AV65" s="150">
        <f t="shared" si="60"/>
        <v>35000</v>
      </c>
      <c r="AW65" s="150">
        <f t="shared" si="26"/>
        <v>641.66999999999996</v>
      </c>
      <c r="AX65" s="150">
        <f t="shared" si="27"/>
        <v>0</v>
      </c>
      <c r="AY65" s="150">
        <f t="shared" si="28"/>
        <v>0</v>
      </c>
      <c r="AZ65" s="150">
        <f t="shared" si="29"/>
        <v>35000</v>
      </c>
      <c r="BA65" s="150">
        <f t="shared" si="61"/>
        <v>12850</v>
      </c>
      <c r="BB65" s="150">
        <f t="shared" si="30"/>
        <v>203.46</v>
      </c>
      <c r="BC65" s="150">
        <f t="shared" si="31"/>
        <v>0</v>
      </c>
      <c r="BD65" s="150">
        <f t="shared" si="32"/>
        <v>0</v>
      </c>
      <c r="BE65" s="150">
        <f t="shared" si="33"/>
        <v>12850</v>
      </c>
      <c r="BF65" s="150">
        <f t="shared" si="62"/>
        <v>1840</v>
      </c>
      <c r="BG65" s="150">
        <f t="shared" si="34"/>
        <v>36.799999999999997</v>
      </c>
      <c r="BH65" s="150">
        <f t="shared" si="35"/>
        <v>0</v>
      </c>
      <c r="BI65" s="150">
        <f t="shared" si="36"/>
        <v>200</v>
      </c>
      <c r="BJ65" s="150">
        <f t="shared" si="37"/>
        <v>1640</v>
      </c>
      <c r="BK65" s="150">
        <f t="shared" si="63"/>
        <v>115000</v>
      </c>
      <c r="BL65" s="150">
        <f t="shared" si="38"/>
        <v>575</v>
      </c>
      <c r="BM65" s="150">
        <f t="shared" si="39"/>
        <v>0</v>
      </c>
      <c r="BN65" s="150">
        <f t="shared" si="40"/>
        <v>0</v>
      </c>
      <c r="BO65" s="150">
        <f t="shared" si="41"/>
        <v>115000</v>
      </c>
      <c r="BP65" s="150">
        <f t="shared" si="64"/>
        <v>12000</v>
      </c>
      <c r="BQ65" s="150">
        <f t="shared" si="42"/>
        <v>50</v>
      </c>
      <c r="BR65" s="150">
        <f t="shared" si="43"/>
        <v>0</v>
      </c>
      <c r="BS65" s="150">
        <f t="shared" si="44"/>
        <v>0</v>
      </c>
      <c r="BT65" s="150">
        <f t="shared" si="45"/>
        <v>12000</v>
      </c>
      <c r="BU65" s="150">
        <f t="shared" si="65"/>
        <v>18992.62</v>
      </c>
      <c r="BV65" s="150">
        <f t="shared" si="46"/>
        <v>253.23</v>
      </c>
      <c r="BW65" s="150">
        <f t="shared" si="47"/>
        <v>136.77000000000001</v>
      </c>
      <c r="BX65" s="150">
        <f t="shared" si="48"/>
        <v>0</v>
      </c>
      <c r="BY65" s="150">
        <f t="shared" si="49"/>
        <v>18855.849999999999</v>
      </c>
      <c r="BZ65" s="147">
        <f t="shared" si="66"/>
        <v>200</v>
      </c>
      <c r="CA65" s="147">
        <f t="shared" si="67"/>
        <v>23327.940000000002</v>
      </c>
    </row>
    <row r="66" spans="11:79">
      <c r="K66" s="132">
        <f t="shared" si="50"/>
        <v>14</v>
      </c>
      <c r="L66" s="148">
        <f t="shared" si="0"/>
        <v>46081</v>
      </c>
      <c r="M66" s="131">
        <f t="shared" si="51"/>
        <v>35000</v>
      </c>
      <c r="N66" s="131">
        <f t="shared" si="1"/>
        <v>641.66999999999996</v>
      </c>
      <c r="O66" s="131">
        <f t="shared" si="2"/>
        <v>0</v>
      </c>
      <c r="P66" s="131">
        <f t="shared" si="3"/>
        <v>0</v>
      </c>
      <c r="Q66" s="131">
        <f t="shared" si="4"/>
        <v>35000</v>
      </c>
      <c r="R66" s="131">
        <f t="shared" si="52"/>
        <v>12850</v>
      </c>
      <c r="S66" s="131">
        <f t="shared" si="5"/>
        <v>203.46</v>
      </c>
      <c r="T66" s="131">
        <f t="shared" si="6"/>
        <v>0</v>
      </c>
      <c r="U66" s="131">
        <f t="shared" si="7"/>
        <v>0</v>
      </c>
      <c r="V66" s="131">
        <f t="shared" si="8"/>
        <v>12850</v>
      </c>
      <c r="W66" s="131">
        <f t="shared" si="53"/>
        <v>1640</v>
      </c>
      <c r="X66" s="131">
        <f t="shared" si="9"/>
        <v>32.799999999999997</v>
      </c>
      <c r="Y66" s="131">
        <f t="shared" si="10"/>
        <v>0</v>
      </c>
      <c r="Z66" s="131">
        <f t="shared" si="11"/>
        <v>200</v>
      </c>
      <c r="AA66" s="131">
        <f t="shared" si="12"/>
        <v>1440</v>
      </c>
      <c r="AB66" s="131">
        <f t="shared" si="54"/>
        <v>115000</v>
      </c>
      <c r="AC66" s="131">
        <f t="shared" si="13"/>
        <v>575</v>
      </c>
      <c r="AD66" s="131">
        <f t="shared" si="14"/>
        <v>0</v>
      </c>
      <c r="AE66" s="131">
        <f t="shared" si="15"/>
        <v>0</v>
      </c>
      <c r="AF66" s="131">
        <f t="shared" si="16"/>
        <v>115000</v>
      </c>
      <c r="AG66" s="131">
        <f t="shared" si="55"/>
        <v>12000</v>
      </c>
      <c r="AH66" s="131">
        <f t="shared" si="17"/>
        <v>50</v>
      </c>
      <c r="AI66" s="131">
        <f t="shared" si="18"/>
        <v>0</v>
      </c>
      <c r="AJ66" s="131">
        <f t="shared" si="19"/>
        <v>0</v>
      </c>
      <c r="AK66" s="131">
        <f t="shared" si="20"/>
        <v>12000</v>
      </c>
      <c r="AL66" s="131">
        <f t="shared" si="56"/>
        <v>18855.849999999999</v>
      </c>
      <c r="AM66" s="131">
        <f t="shared" si="21"/>
        <v>251.41</v>
      </c>
      <c r="AN66" s="131">
        <f t="shared" si="22"/>
        <v>138.59</v>
      </c>
      <c r="AO66" s="131">
        <f t="shared" si="23"/>
        <v>0</v>
      </c>
      <c r="AP66" s="131">
        <f t="shared" si="24"/>
        <v>18717.259999999998</v>
      </c>
      <c r="AQ66" s="149">
        <f t="shared" si="57"/>
        <v>200</v>
      </c>
      <c r="AR66" s="149">
        <f t="shared" si="58"/>
        <v>25082.280000000002</v>
      </c>
      <c r="AS66" s="133"/>
      <c r="AT66" s="132">
        <f t="shared" si="59"/>
        <v>14</v>
      </c>
      <c r="AU66" s="148">
        <f t="shared" si="25"/>
        <v>46081</v>
      </c>
      <c r="AV66" s="131">
        <f t="shared" si="60"/>
        <v>35000</v>
      </c>
      <c r="AW66" s="131">
        <f t="shared" si="26"/>
        <v>641.66999999999996</v>
      </c>
      <c r="AX66" s="131">
        <f t="shared" si="27"/>
        <v>0</v>
      </c>
      <c r="AY66" s="131">
        <f t="shared" si="28"/>
        <v>0</v>
      </c>
      <c r="AZ66" s="131">
        <f t="shared" si="29"/>
        <v>35000</v>
      </c>
      <c r="BA66" s="131">
        <f t="shared" si="61"/>
        <v>12850</v>
      </c>
      <c r="BB66" s="131">
        <f t="shared" si="30"/>
        <v>203.46</v>
      </c>
      <c r="BC66" s="131">
        <f t="shared" si="31"/>
        <v>0</v>
      </c>
      <c r="BD66" s="131">
        <f t="shared" si="32"/>
        <v>0</v>
      </c>
      <c r="BE66" s="131">
        <f t="shared" si="33"/>
        <v>12850</v>
      </c>
      <c r="BF66" s="131">
        <f t="shared" si="62"/>
        <v>1640</v>
      </c>
      <c r="BG66" s="131">
        <f t="shared" si="34"/>
        <v>32.799999999999997</v>
      </c>
      <c r="BH66" s="131">
        <f t="shared" si="35"/>
        <v>0</v>
      </c>
      <c r="BI66" s="131">
        <f t="shared" si="36"/>
        <v>200</v>
      </c>
      <c r="BJ66" s="131">
        <f t="shared" si="37"/>
        <v>1440</v>
      </c>
      <c r="BK66" s="131">
        <f t="shared" si="63"/>
        <v>115000</v>
      </c>
      <c r="BL66" s="131">
        <f t="shared" si="38"/>
        <v>575</v>
      </c>
      <c r="BM66" s="131">
        <f t="shared" si="39"/>
        <v>0</v>
      </c>
      <c r="BN66" s="131">
        <f t="shared" si="40"/>
        <v>0</v>
      </c>
      <c r="BO66" s="131">
        <f t="shared" si="41"/>
        <v>115000</v>
      </c>
      <c r="BP66" s="131">
        <f t="shared" si="64"/>
        <v>12000</v>
      </c>
      <c r="BQ66" s="131">
        <f t="shared" si="42"/>
        <v>50</v>
      </c>
      <c r="BR66" s="131">
        <f t="shared" si="43"/>
        <v>0</v>
      </c>
      <c r="BS66" s="131">
        <f t="shared" si="44"/>
        <v>0</v>
      </c>
      <c r="BT66" s="131">
        <f t="shared" si="45"/>
        <v>12000</v>
      </c>
      <c r="BU66" s="131">
        <f t="shared" si="65"/>
        <v>18855.849999999999</v>
      </c>
      <c r="BV66" s="131">
        <f t="shared" si="46"/>
        <v>251.41</v>
      </c>
      <c r="BW66" s="131">
        <f t="shared" si="47"/>
        <v>138.59</v>
      </c>
      <c r="BX66" s="131">
        <f t="shared" si="48"/>
        <v>0</v>
      </c>
      <c r="BY66" s="131">
        <f t="shared" si="49"/>
        <v>18717.259999999998</v>
      </c>
      <c r="BZ66" s="147">
        <f t="shared" si="66"/>
        <v>200</v>
      </c>
      <c r="CA66" s="147">
        <f t="shared" si="67"/>
        <v>25082.280000000002</v>
      </c>
    </row>
    <row r="67" spans="11:79">
      <c r="K67" s="152">
        <f t="shared" si="50"/>
        <v>15</v>
      </c>
      <c r="L67" s="151">
        <f t="shared" si="0"/>
        <v>46112</v>
      </c>
      <c r="M67" s="150">
        <f t="shared" si="51"/>
        <v>35000</v>
      </c>
      <c r="N67" s="150">
        <f t="shared" si="1"/>
        <v>641.66999999999996</v>
      </c>
      <c r="O67" s="150">
        <f t="shared" si="2"/>
        <v>0</v>
      </c>
      <c r="P67" s="150">
        <f t="shared" si="3"/>
        <v>0</v>
      </c>
      <c r="Q67" s="150">
        <f t="shared" si="4"/>
        <v>35000</v>
      </c>
      <c r="R67" s="150">
        <f t="shared" si="52"/>
        <v>12850</v>
      </c>
      <c r="S67" s="150">
        <f t="shared" si="5"/>
        <v>203.46</v>
      </c>
      <c r="T67" s="150">
        <f t="shared" si="6"/>
        <v>0</v>
      </c>
      <c r="U67" s="150">
        <f t="shared" si="7"/>
        <v>0</v>
      </c>
      <c r="V67" s="150">
        <f t="shared" si="8"/>
        <v>12850</v>
      </c>
      <c r="W67" s="150">
        <f t="shared" si="53"/>
        <v>1440</v>
      </c>
      <c r="X67" s="150">
        <f t="shared" si="9"/>
        <v>28.8</v>
      </c>
      <c r="Y67" s="150">
        <f t="shared" si="10"/>
        <v>0</v>
      </c>
      <c r="Z67" s="150">
        <f t="shared" si="11"/>
        <v>200</v>
      </c>
      <c r="AA67" s="150">
        <f t="shared" si="12"/>
        <v>1240</v>
      </c>
      <c r="AB67" s="150">
        <f t="shared" si="54"/>
        <v>115000</v>
      </c>
      <c r="AC67" s="150">
        <f t="shared" si="13"/>
        <v>575</v>
      </c>
      <c r="AD67" s="150">
        <f t="shared" si="14"/>
        <v>0</v>
      </c>
      <c r="AE67" s="150">
        <f t="shared" si="15"/>
        <v>0</v>
      </c>
      <c r="AF67" s="150">
        <f t="shared" si="16"/>
        <v>115000</v>
      </c>
      <c r="AG67" s="150">
        <f t="shared" si="55"/>
        <v>12000</v>
      </c>
      <c r="AH67" s="150">
        <f t="shared" si="17"/>
        <v>50</v>
      </c>
      <c r="AI67" s="150">
        <f t="shared" si="18"/>
        <v>0</v>
      </c>
      <c r="AJ67" s="150">
        <f t="shared" si="19"/>
        <v>0</v>
      </c>
      <c r="AK67" s="150">
        <f t="shared" si="20"/>
        <v>12000</v>
      </c>
      <c r="AL67" s="150">
        <f t="shared" si="56"/>
        <v>18717.259999999998</v>
      </c>
      <c r="AM67" s="150">
        <f t="shared" si="21"/>
        <v>249.56</v>
      </c>
      <c r="AN67" s="150">
        <f t="shared" si="22"/>
        <v>140.44</v>
      </c>
      <c r="AO67" s="150">
        <f t="shared" si="23"/>
        <v>0</v>
      </c>
      <c r="AP67" s="150">
        <f t="shared" si="24"/>
        <v>18576.82</v>
      </c>
      <c r="AQ67" s="149">
        <f t="shared" si="57"/>
        <v>200</v>
      </c>
      <c r="AR67" s="149">
        <f t="shared" si="58"/>
        <v>26830.770000000004</v>
      </c>
      <c r="AS67" s="133"/>
      <c r="AT67" s="152">
        <f t="shared" si="59"/>
        <v>15</v>
      </c>
      <c r="AU67" s="151">
        <f t="shared" si="25"/>
        <v>46112</v>
      </c>
      <c r="AV67" s="150">
        <f t="shared" si="60"/>
        <v>35000</v>
      </c>
      <c r="AW67" s="150">
        <f t="shared" si="26"/>
        <v>641.66999999999996</v>
      </c>
      <c r="AX67" s="150">
        <f t="shared" si="27"/>
        <v>0</v>
      </c>
      <c r="AY67" s="150">
        <f t="shared" si="28"/>
        <v>0</v>
      </c>
      <c r="AZ67" s="150">
        <f t="shared" si="29"/>
        <v>35000</v>
      </c>
      <c r="BA67" s="150">
        <f t="shared" si="61"/>
        <v>12850</v>
      </c>
      <c r="BB67" s="150">
        <f t="shared" si="30"/>
        <v>203.46</v>
      </c>
      <c r="BC67" s="150">
        <f t="shared" si="31"/>
        <v>0</v>
      </c>
      <c r="BD67" s="150">
        <f t="shared" si="32"/>
        <v>0</v>
      </c>
      <c r="BE67" s="150">
        <f t="shared" si="33"/>
        <v>12850</v>
      </c>
      <c r="BF67" s="150">
        <f t="shared" si="62"/>
        <v>1440</v>
      </c>
      <c r="BG67" s="150">
        <f t="shared" si="34"/>
        <v>28.8</v>
      </c>
      <c r="BH67" s="150">
        <f t="shared" si="35"/>
        <v>0</v>
      </c>
      <c r="BI67" s="150">
        <f t="shared" si="36"/>
        <v>200</v>
      </c>
      <c r="BJ67" s="150">
        <f t="shared" si="37"/>
        <v>1240</v>
      </c>
      <c r="BK67" s="150">
        <f t="shared" si="63"/>
        <v>115000</v>
      </c>
      <c r="BL67" s="150">
        <f t="shared" si="38"/>
        <v>575</v>
      </c>
      <c r="BM67" s="150">
        <f t="shared" si="39"/>
        <v>0</v>
      </c>
      <c r="BN67" s="150">
        <f t="shared" si="40"/>
        <v>0</v>
      </c>
      <c r="BO67" s="150">
        <f t="shared" si="41"/>
        <v>115000</v>
      </c>
      <c r="BP67" s="150">
        <f t="shared" si="64"/>
        <v>12000</v>
      </c>
      <c r="BQ67" s="150">
        <f t="shared" si="42"/>
        <v>50</v>
      </c>
      <c r="BR67" s="150">
        <f t="shared" si="43"/>
        <v>0</v>
      </c>
      <c r="BS67" s="150">
        <f t="shared" si="44"/>
        <v>0</v>
      </c>
      <c r="BT67" s="150">
        <f t="shared" si="45"/>
        <v>12000</v>
      </c>
      <c r="BU67" s="150">
        <f t="shared" si="65"/>
        <v>18717.259999999998</v>
      </c>
      <c r="BV67" s="150">
        <f t="shared" si="46"/>
        <v>249.56</v>
      </c>
      <c r="BW67" s="150">
        <f t="shared" si="47"/>
        <v>140.44</v>
      </c>
      <c r="BX67" s="150">
        <f t="shared" si="48"/>
        <v>0</v>
      </c>
      <c r="BY67" s="150">
        <f t="shared" si="49"/>
        <v>18576.82</v>
      </c>
      <c r="BZ67" s="147">
        <f t="shared" si="66"/>
        <v>200</v>
      </c>
      <c r="CA67" s="147">
        <f t="shared" si="67"/>
        <v>26830.770000000004</v>
      </c>
    </row>
    <row r="68" spans="11:79">
      <c r="K68" s="132">
        <f t="shared" si="50"/>
        <v>16</v>
      </c>
      <c r="L68" s="148">
        <f t="shared" si="0"/>
        <v>46142</v>
      </c>
      <c r="M68" s="131">
        <f t="shared" si="51"/>
        <v>35000</v>
      </c>
      <c r="N68" s="131">
        <f t="shared" si="1"/>
        <v>641.66999999999996</v>
      </c>
      <c r="O68" s="131">
        <f t="shared" si="2"/>
        <v>0</v>
      </c>
      <c r="P68" s="131">
        <f t="shared" si="3"/>
        <v>0</v>
      </c>
      <c r="Q68" s="131">
        <f t="shared" si="4"/>
        <v>35000</v>
      </c>
      <c r="R68" s="131">
        <f t="shared" si="52"/>
        <v>12850</v>
      </c>
      <c r="S68" s="131">
        <f t="shared" si="5"/>
        <v>203.46</v>
      </c>
      <c r="T68" s="131">
        <f t="shared" si="6"/>
        <v>0</v>
      </c>
      <c r="U68" s="131">
        <f t="shared" si="7"/>
        <v>0</v>
      </c>
      <c r="V68" s="131">
        <f t="shared" si="8"/>
        <v>12850</v>
      </c>
      <c r="W68" s="131">
        <f t="shared" si="53"/>
        <v>1240</v>
      </c>
      <c r="X68" s="131">
        <f t="shared" si="9"/>
        <v>24.8</v>
      </c>
      <c r="Y68" s="131">
        <f t="shared" si="10"/>
        <v>0</v>
      </c>
      <c r="Z68" s="131">
        <f t="shared" si="11"/>
        <v>200</v>
      </c>
      <c r="AA68" s="131">
        <f t="shared" si="12"/>
        <v>1040</v>
      </c>
      <c r="AB68" s="131">
        <f t="shared" si="54"/>
        <v>115000</v>
      </c>
      <c r="AC68" s="131">
        <f t="shared" si="13"/>
        <v>575</v>
      </c>
      <c r="AD68" s="131">
        <f t="shared" si="14"/>
        <v>0</v>
      </c>
      <c r="AE68" s="131">
        <f t="shared" si="15"/>
        <v>0</v>
      </c>
      <c r="AF68" s="131">
        <f t="shared" si="16"/>
        <v>115000</v>
      </c>
      <c r="AG68" s="131">
        <f t="shared" si="55"/>
        <v>12000</v>
      </c>
      <c r="AH68" s="131">
        <f t="shared" si="17"/>
        <v>50</v>
      </c>
      <c r="AI68" s="131">
        <f t="shared" si="18"/>
        <v>0</v>
      </c>
      <c r="AJ68" s="131">
        <f t="shared" si="19"/>
        <v>0</v>
      </c>
      <c r="AK68" s="131">
        <f t="shared" si="20"/>
        <v>12000</v>
      </c>
      <c r="AL68" s="131">
        <f t="shared" si="56"/>
        <v>18576.82</v>
      </c>
      <c r="AM68" s="131">
        <f t="shared" si="21"/>
        <v>247.69</v>
      </c>
      <c r="AN68" s="131">
        <f t="shared" si="22"/>
        <v>142.31</v>
      </c>
      <c r="AO68" s="131">
        <f t="shared" si="23"/>
        <v>0</v>
      </c>
      <c r="AP68" s="131">
        <f t="shared" si="24"/>
        <v>18434.509999999998</v>
      </c>
      <c r="AQ68" s="149">
        <f t="shared" si="57"/>
        <v>200</v>
      </c>
      <c r="AR68" s="149">
        <f t="shared" si="58"/>
        <v>28573.390000000003</v>
      </c>
      <c r="AS68" s="133"/>
      <c r="AT68" s="132">
        <f t="shared" si="59"/>
        <v>16</v>
      </c>
      <c r="AU68" s="148">
        <f t="shared" si="25"/>
        <v>46142</v>
      </c>
      <c r="AV68" s="131">
        <f t="shared" si="60"/>
        <v>35000</v>
      </c>
      <c r="AW68" s="131">
        <f t="shared" si="26"/>
        <v>641.66999999999996</v>
      </c>
      <c r="AX68" s="131">
        <f t="shared" si="27"/>
        <v>0</v>
      </c>
      <c r="AY68" s="131">
        <f t="shared" si="28"/>
        <v>0</v>
      </c>
      <c r="AZ68" s="131">
        <f t="shared" si="29"/>
        <v>35000</v>
      </c>
      <c r="BA68" s="131">
        <f t="shared" si="61"/>
        <v>12850</v>
      </c>
      <c r="BB68" s="131">
        <f t="shared" si="30"/>
        <v>203.46</v>
      </c>
      <c r="BC68" s="131">
        <f t="shared" si="31"/>
        <v>0</v>
      </c>
      <c r="BD68" s="131">
        <f t="shared" si="32"/>
        <v>0</v>
      </c>
      <c r="BE68" s="131">
        <f t="shared" si="33"/>
        <v>12850</v>
      </c>
      <c r="BF68" s="131">
        <f t="shared" si="62"/>
        <v>1240</v>
      </c>
      <c r="BG68" s="131">
        <f t="shared" si="34"/>
        <v>24.8</v>
      </c>
      <c r="BH68" s="131">
        <f t="shared" si="35"/>
        <v>0</v>
      </c>
      <c r="BI68" s="131">
        <f t="shared" si="36"/>
        <v>200</v>
      </c>
      <c r="BJ68" s="131">
        <f t="shared" si="37"/>
        <v>1040</v>
      </c>
      <c r="BK68" s="131">
        <f t="shared" si="63"/>
        <v>115000</v>
      </c>
      <c r="BL68" s="131">
        <f t="shared" si="38"/>
        <v>575</v>
      </c>
      <c r="BM68" s="131">
        <f t="shared" si="39"/>
        <v>0</v>
      </c>
      <c r="BN68" s="131">
        <f t="shared" si="40"/>
        <v>0</v>
      </c>
      <c r="BO68" s="131">
        <f t="shared" si="41"/>
        <v>115000</v>
      </c>
      <c r="BP68" s="131">
        <f t="shared" si="64"/>
        <v>12000</v>
      </c>
      <c r="BQ68" s="131">
        <f t="shared" si="42"/>
        <v>50</v>
      </c>
      <c r="BR68" s="131">
        <f t="shared" si="43"/>
        <v>0</v>
      </c>
      <c r="BS68" s="131">
        <f t="shared" si="44"/>
        <v>0</v>
      </c>
      <c r="BT68" s="131">
        <f t="shared" si="45"/>
        <v>12000</v>
      </c>
      <c r="BU68" s="131">
        <f t="shared" si="65"/>
        <v>18576.82</v>
      </c>
      <c r="BV68" s="131">
        <f t="shared" si="46"/>
        <v>247.69</v>
      </c>
      <c r="BW68" s="131">
        <f t="shared" si="47"/>
        <v>142.31</v>
      </c>
      <c r="BX68" s="131">
        <f t="shared" si="48"/>
        <v>0</v>
      </c>
      <c r="BY68" s="131">
        <f t="shared" si="49"/>
        <v>18434.509999999998</v>
      </c>
      <c r="BZ68" s="147">
        <f t="shared" si="66"/>
        <v>200</v>
      </c>
      <c r="CA68" s="147">
        <f t="shared" si="67"/>
        <v>28573.390000000003</v>
      </c>
    </row>
    <row r="69" spans="11:79">
      <c r="K69" s="152">
        <f t="shared" si="50"/>
        <v>17</v>
      </c>
      <c r="L69" s="151">
        <f t="shared" si="0"/>
        <v>46173</v>
      </c>
      <c r="M69" s="150">
        <f t="shared" si="51"/>
        <v>35000</v>
      </c>
      <c r="N69" s="150">
        <f t="shared" si="1"/>
        <v>641.66999999999996</v>
      </c>
      <c r="O69" s="150">
        <f t="shared" si="2"/>
        <v>0</v>
      </c>
      <c r="P69" s="150">
        <f t="shared" si="3"/>
        <v>0</v>
      </c>
      <c r="Q69" s="150">
        <f t="shared" si="4"/>
        <v>35000</v>
      </c>
      <c r="R69" s="150">
        <f t="shared" si="52"/>
        <v>12850</v>
      </c>
      <c r="S69" s="150">
        <f t="shared" si="5"/>
        <v>203.46</v>
      </c>
      <c r="T69" s="150">
        <f t="shared" si="6"/>
        <v>0</v>
      </c>
      <c r="U69" s="150">
        <f t="shared" si="7"/>
        <v>0</v>
      </c>
      <c r="V69" s="150">
        <f t="shared" si="8"/>
        <v>12850</v>
      </c>
      <c r="W69" s="150">
        <f t="shared" si="53"/>
        <v>1040</v>
      </c>
      <c r="X69" s="150">
        <f t="shared" si="9"/>
        <v>20.8</v>
      </c>
      <c r="Y69" s="150">
        <f t="shared" si="10"/>
        <v>0</v>
      </c>
      <c r="Z69" s="150">
        <f t="shared" si="11"/>
        <v>200</v>
      </c>
      <c r="AA69" s="150">
        <f t="shared" si="12"/>
        <v>840</v>
      </c>
      <c r="AB69" s="150">
        <f t="shared" si="54"/>
        <v>115000</v>
      </c>
      <c r="AC69" s="150">
        <f t="shared" si="13"/>
        <v>575</v>
      </c>
      <c r="AD69" s="150">
        <f t="shared" si="14"/>
        <v>0</v>
      </c>
      <c r="AE69" s="150">
        <f t="shared" si="15"/>
        <v>0</v>
      </c>
      <c r="AF69" s="150">
        <f t="shared" si="16"/>
        <v>115000</v>
      </c>
      <c r="AG69" s="150">
        <f t="shared" si="55"/>
        <v>12000</v>
      </c>
      <c r="AH69" s="150">
        <f t="shared" si="17"/>
        <v>50</v>
      </c>
      <c r="AI69" s="150">
        <f t="shared" si="18"/>
        <v>0</v>
      </c>
      <c r="AJ69" s="150">
        <f t="shared" si="19"/>
        <v>0</v>
      </c>
      <c r="AK69" s="150">
        <f t="shared" si="20"/>
        <v>12000</v>
      </c>
      <c r="AL69" s="150">
        <f t="shared" si="56"/>
        <v>18434.509999999998</v>
      </c>
      <c r="AM69" s="150">
        <f t="shared" si="21"/>
        <v>245.79</v>
      </c>
      <c r="AN69" s="150">
        <f t="shared" si="22"/>
        <v>144.21</v>
      </c>
      <c r="AO69" s="150">
        <f t="shared" si="23"/>
        <v>0</v>
      </c>
      <c r="AP69" s="150">
        <f t="shared" si="24"/>
        <v>18290.3</v>
      </c>
      <c r="AQ69" s="149">
        <f t="shared" si="57"/>
        <v>200</v>
      </c>
      <c r="AR69" s="149">
        <f t="shared" si="58"/>
        <v>30310.110000000004</v>
      </c>
      <c r="AS69" s="133"/>
      <c r="AT69" s="152">
        <f t="shared" si="59"/>
        <v>17</v>
      </c>
      <c r="AU69" s="151">
        <f t="shared" si="25"/>
        <v>46173</v>
      </c>
      <c r="AV69" s="150">
        <f t="shared" si="60"/>
        <v>35000</v>
      </c>
      <c r="AW69" s="150">
        <f t="shared" si="26"/>
        <v>641.66999999999996</v>
      </c>
      <c r="AX69" s="150">
        <f t="shared" si="27"/>
        <v>0</v>
      </c>
      <c r="AY69" s="150">
        <f t="shared" si="28"/>
        <v>0</v>
      </c>
      <c r="AZ69" s="150">
        <f t="shared" si="29"/>
        <v>35000</v>
      </c>
      <c r="BA69" s="150">
        <f t="shared" si="61"/>
        <v>12850</v>
      </c>
      <c r="BB69" s="150">
        <f t="shared" si="30"/>
        <v>203.46</v>
      </c>
      <c r="BC69" s="150">
        <f t="shared" si="31"/>
        <v>0</v>
      </c>
      <c r="BD69" s="150">
        <f t="shared" si="32"/>
        <v>0</v>
      </c>
      <c r="BE69" s="150">
        <f t="shared" si="33"/>
        <v>12850</v>
      </c>
      <c r="BF69" s="150">
        <f t="shared" si="62"/>
        <v>1040</v>
      </c>
      <c r="BG69" s="150">
        <f t="shared" si="34"/>
        <v>20.8</v>
      </c>
      <c r="BH69" s="150">
        <f t="shared" si="35"/>
        <v>0</v>
      </c>
      <c r="BI69" s="150">
        <f t="shared" si="36"/>
        <v>200</v>
      </c>
      <c r="BJ69" s="150">
        <f t="shared" si="37"/>
        <v>840</v>
      </c>
      <c r="BK69" s="150">
        <f t="shared" si="63"/>
        <v>115000</v>
      </c>
      <c r="BL69" s="150">
        <f t="shared" si="38"/>
        <v>575</v>
      </c>
      <c r="BM69" s="150">
        <f t="shared" si="39"/>
        <v>0</v>
      </c>
      <c r="BN69" s="150">
        <f t="shared" si="40"/>
        <v>0</v>
      </c>
      <c r="BO69" s="150">
        <f t="shared" si="41"/>
        <v>115000</v>
      </c>
      <c r="BP69" s="150">
        <f t="shared" si="64"/>
        <v>12000</v>
      </c>
      <c r="BQ69" s="150">
        <f t="shared" si="42"/>
        <v>50</v>
      </c>
      <c r="BR69" s="150">
        <f t="shared" si="43"/>
        <v>0</v>
      </c>
      <c r="BS69" s="150">
        <f t="shared" si="44"/>
        <v>0</v>
      </c>
      <c r="BT69" s="150">
        <f t="shared" si="45"/>
        <v>12000</v>
      </c>
      <c r="BU69" s="150">
        <f t="shared" si="65"/>
        <v>18434.509999999998</v>
      </c>
      <c r="BV69" s="150">
        <f t="shared" si="46"/>
        <v>245.79</v>
      </c>
      <c r="BW69" s="150">
        <f t="shared" si="47"/>
        <v>144.21</v>
      </c>
      <c r="BX69" s="150">
        <f t="shared" si="48"/>
        <v>0</v>
      </c>
      <c r="BY69" s="150">
        <f t="shared" si="49"/>
        <v>18290.3</v>
      </c>
      <c r="BZ69" s="147">
        <f t="shared" si="66"/>
        <v>200</v>
      </c>
      <c r="CA69" s="147">
        <f t="shared" si="67"/>
        <v>30310.110000000004</v>
      </c>
    </row>
    <row r="70" spans="11:79">
      <c r="K70" s="132">
        <f t="shared" si="50"/>
        <v>18</v>
      </c>
      <c r="L70" s="148">
        <f t="shared" si="0"/>
        <v>46203</v>
      </c>
      <c r="M70" s="131">
        <f t="shared" si="51"/>
        <v>35000</v>
      </c>
      <c r="N70" s="131">
        <f t="shared" si="1"/>
        <v>641.66999999999996</v>
      </c>
      <c r="O70" s="131">
        <f t="shared" si="2"/>
        <v>0</v>
      </c>
      <c r="P70" s="131">
        <f t="shared" si="3"/>
        <v>0</v>
      </c>
      <c r="Q70" s="131">
        <f t="shared" si="4"/>
        <v>35000</v>
      </c>
      <c r="R70" s="131">
        <f t="shared" si="52"/>
        <v>12850</v>
      </c>
      <c r="S70" s="131">
        <f t="shared" si="5"/>
        <v>203.46</v>
      </c>
      <c r="T70" s="131">
        <f t="shared" si="6"/>
        <v>0</v>
      </c>
      <c r="U70" s="131">
        <f t="shared" si="7"/>
        <v>0</v>
      </c>
      <c r="V70" s="131">
        <f t="shared" si="8"/>
        <v>12850</v>
      </c>
      <c r="W70" s="131">
        <f t="shared" si="53"/>
        <v>840</v>
      </c>
      <c r="X70" s="131">
        <f t="shared" si="9"/>
        <v>16.8</v>
      </c>
      <c r="Y70" s="131">
        <f t="shared" si="10"/>
        <v>0</v>
      </c>
      <c r="Z70" s="131">
        <f t="shared" si="11"/>
        <v>200</v>
      </c>
      <c r="AA70" s="131">
        <f t="shared" si="12"/>
        <v>640</v>
      </c>
      <c r="AB70" s="131">
        <f t="shared" si="54"/>
        <v>115000</v>
      </c>
      <c r="AC70" s="131">
        <f t="shared" si="13"/>
        <v>575</v>
      </c>
      <c r="AD70" s="131">
        <f t="shared" si="14"/>
        <v>0</v>
      </c>
      <c r="AE70" s="131">
        <f t="shared" si="15"/>
        <v>0</v>
      </c>
      <c r="AF70" s="131">
        <f t="shared" si="16"/>
        <v>115000</v>
      </c>
      <c r="AG70" s="131">
        <f t="shared" si="55"/>
        <v>12000</v>
      </c>
      <c r="AH70" s="131">
        <f t="shared" si="17"/>
        <v>50</v>
      </c>
      <c r="AI70" s="131">
        <f t="shared" si="18"/>
        <v>0</v>
      </c>
      <c r="AJ70" s="131">
        <f t="shared" si="19"/>
        <v>0</v>
      </c>
      <c r="AK70" s="131">
        <f t="shared" si="20"/>
        <v>12000</v>
      </c>
      <c r="AL70" s="131">
        <f t="shared" si="56"/>
        <v>18290.3</v>
      </c>
      <c r="AM70" s="131">
        <f t="shared" si="21"/>
        <v>243.87</v>
      </c>
      <c r="AN70" s="131">
        <f t="shared" si="22"/>
        <v>146.13</v>
      </c>
      <c r="AO70" s="131">
        <f t="shared" si="23"/>
        <v>0</v>
      </c>
      <c r="AP70" s="131">
        <f t="shared" si="24"/>
        <v>18144.169999999998</v>
      </c>
      <c r="AQ70" s="149">
        <f t="shared" si="57"/>
        <v>200</v>
      </c>
      <c r="AR70" s="149">
        <f t="shared" si="58"/>
        <v>32040.910000000003</v>
      </c>
      <c r="AS70" s="133"/>
      <c r="AT70" s="132">
        <f t="shared" si="59"/>
        <v>18</v>
      </c>
      <c r="AU70" s="148">
        <f t="shared" si="25"/>
        <v>46203</v>
      </c>
      <c r="AV70" s="131">
        <f t="shared" si="60"/>
        <v>35000</v>
      </c>
      <c r="AW70" s="131">
        <f t="shared" si="26"/>
        <v>641.66999999999996</v>
      </c>
      <c r="AX70" s="131">
        <f t="shared" si="27"/>
        <v>0</v>
      </c>
      <c r="AY70" s="131">
        <f t="shared" si="28"/>
        <v>0</v>
      </c>
      <c r="AZ70" s="131">
        <f t="shared" si="29"/>
        <v>35000</v>
      </c>
      <c r="BA70" s="131">
        <f t="shared" si="61"/>
        <v>12850</v>
      </c>
      <c r="BB70" s="131">
        <f t="shared" si="30"/>
        <v>203.46</v>
      </c>
      <c r="BC70" s="131">
        <f t="shared" si="31"/>
        <v>0</v>
      </c>
      <c r="BD70" s="131">
        <f t="shared" si="32"/>
        <v>0</v>
      </c>
      <c r="BE70" s="131">
        <f t="shared" si="33"/>
        <v>12850</v>
      </c>
      <c r="BF70" s="131">
        <f t="shared" si="62"/>
        <v>840</v>
      </c>
      <c r="BG70" s="131">
        <f t="shared" si="34"/>
        <v>16.8</v>
      </c>
      <c r="BH70" s="131">
        <f t="shared" si="35"/>
        <v>0</v>
      </c>
      <c r="BI70" s="131">
        <f t="shared" si="36"/>
        <v>200</v>
      </c>
      <c r="BJ70" s="131">
        <f t="shared" si="37"/>
        <v>640</v>
      </c>
      <c r="BK70" s="131">
        <f t="shared" si="63"/>
        <v>115000</v>
      </c>
      <c r="BL70" s="131">
        <f t="shared" si="38"/>
        <v>575</v>
      </c>
      <c r="BM70" s="131">
        <f t="shared" si="39"/>
        <v>0</v>
      </c>
      <c r="BN70" s="131">
        <f t="shared" si="40"/>
        <v>0</v>
      </c>
      <c r="BO70" s="131">
        <f t="shared" si="41"/>
        <v>115000</v>
      </c>
      <c r="BP70" s="131">
        <f t="shared" si="64"/>
        <v>12000</v>
      </c>
      <c r="BQ70" s="131">
        <f t="shared" si="42"/>
        <v>50</v>
      </c>
      <c r="BR70" s="131">
        <f t="shared" si="43"/>
        <v>0</v>
      </c>
      <c r="BS70" s="131">
        <f t="shared" si="44"/>
        <v>0</v>
      </c>
      <c r="BT70" s="131">
        <f t="shared" si="45"/>
        <v>12000</v>
      </c>
      <c r="BU70" s="131">
        <f t="shared" si="65"/>
        <v>18290.3</v>
      </c>
      <c r="BV70" s="131">
        <f t="shared" si="46"/>
        <v>243.87</v>
      </c>
      <c r="BW70" s="131">
        <f t="shared" si="47"/>
        <v>146.13</v>
      </c>
      <c r="BX70" s="131">
        <f t="shared" si="48"/>
        <v>0</v>
      </c>
      <c r="BY70" s="131">
        <f t="shared" si="49"/>
        <v>18144.169999999998</v>
      </c>
      <c r="BZ70" s="147">
        <f t="shared" si="66"/>
        <v>200</v>
      </c>
      <c r="CA70" s="147">
        <f t="shared" si="67"/>
        <v>32040.910000000003</v>
      </c>
    </row>
    <row r="71" spans="11:79">
      <c r="K71" s="152">
        <f t="shared" si="50"/>
        <v>19</v>
      </c>
      <c r="L71" s="151">
        <f t="shared" si="0"/>
        <v>46234</v>
      </c>
      <c r="M71" s="150">
        <f t="shared" si="51"/>
        <v>35000</v>
      </c>
      <c r="N71" s="150">
        <f t="shared" si="1"/>
        <v>641.66999999999996</v>
      </c>
      <c r="O71" s="150">
        <f t="shared" si="2"/>
        <v>0</v>
      </c>
      <c r="P71" s="150">
        <f t="shared" si="3"/>
        <v>0</v>
      </c>
      <c r="Q71" s="150">
        <f t="shared" si="4"/>
        <v>35000</v>
      </c>
      <c r="R71" s="150">
        <f t="shared" si="52"/>
        <v>12850</v>
      </c>
      <c r="S71" s="150">
        <f t="shared" si="5"/>
        <v>203.46</v>
      </c>
      <c r="T71" s="150">
        <f t="shared" si="6"/>
        <v>0</v>
      </c>
      <c r="U71" s="150">
        <f t="shared" si="7"/>
        <v>0</v>
      </c>
      <c r="V71" s="150">
        <f t="shared" si="8"/>
        <v>12850</v>
      </c>
      <c r="W71" s="150">
        <f t="shared" si="53"/>
        <v>640</v>
      </c>
      <c r="X71" s="150">
        <f t="shared" si="9"/>
        <v>12.8</v>
      </c>
      <c r="Y71" s="150">
        <f t="shared" si="10"/>
        <v>0</v>
      </c>
      <c r="Z71" s="150">
        <f t="shared" si="11"/>
        <v>200</v>
      </c>
      <c r="AA71" s="150">
        <f t="shared" si="12"/>
        <v>440</v>
      </c>
      <c r="AB71" s="150">
        <f t="shared" si="54"/>
        <v>115000</v>
      </c>
      <c r="AC71" s="150">
        <f t="shared" si="13"/>
        <v>575</v>
      </c>
      <c r="AD71" s="150">
        <f t="shared" si="14"/>
        <v>0</v>
      </c>
      <c r="AE71" s="150">
        <f t="shared" si="15"/>
        <v>0</v>
      </c>
      <c r="AF71" s="150">
        <f t="shared" si="16"/>
        <v>115000</v>
      </c>
      <c r="AG71" s="150">
        <f t="shared" si="55"/>
        <v>12000</v>
      </c>
      <c r="AH71" s="150">
        <f t="shared" si="17"/>
        <v>50</v>
      </c>
      <c r="AI71" s="150">
        <f t="shared" si="18"/>
        <v>0</v>
      </c>
      <c r="AJ71" s="150">
        <f t="shared" si="19"/>
        <v>0</v>
      </c>
      <c r="AK71" s="150">
        <f t="shared" si="20"/>
        <v>12000</v>
      </c>
      <c r="AL71" s="150">
        <f t="shared" si="56"/>
        <v>18144.169999999998</v>
      </c>
      <c r="AM71" s="150">
        <f t="shared" si="21"/>
        <v>241.92</v>
      </c>
      <c r="AN71" s="150">
        <f t="shared" si="22"/>
        <v>148.08000000000001</v>
      </c>
      <c r="AO71" s="150">
        <f t="shared" si="23"/>
        <v>0</v>
      </c>
      <c r="AP71" s="150">
        <f t="shared" si="24"/>
        <v>17996.09</v>
      </c>
      <c r="AQ71" s="149">
        <f t="shared" si="57"/>
        <v>200</v>
      </c>
      <c r="AR71" s="149">
        <f t="shared" si="58"/>
        <v>33765.760000000002</v>
      </c>
      <c r="AS71" s="133"/>
      <c r="AT71" s="152">
        <f t="shared" si="59"/>
        <v>19</v>
      </c>
      <c r="AU71" s="151">
        <f t="shared" si="25"/>
        <v>46234</v>
      </c>
      <c r="AV71" s="150">
        <f t="shared" si="60"/>
        <v>35000</v>
      </c>
      <c r="AW71" s="150">
        <f t="shared" si="26"/>
        <v>641.66999999999996</v>
      </c>
      <c r="AX71" s="150">
        <f t="shared" si="27"/>
        <v>0</v>
      </c>
      <c r="AY71" s="150">
        <f t="shared" si="28"/>
        <v>0</v>
      </c>
      <c r="AZ71" s="150">
        <f t="shared" si="29"/>
        <v>35000</v>
      </c>
      <c r="BA71" s="150">
        <f t="shared" si="61"/>
        <v>12850</v>
      </c>
      <c r="BB71" s="150">
        <f t="shared" si="30"/>
        <v>203.46</v>
      </c>
      <c r="BC71" s="150">
        <f t="shared" si="31"/>
        <v>0</v>
      </c>
      <c r="BD71" s="150">
        <f t="shared" si="32"/>
        <v>0</v>
      </c>
      <c r="BE71" s="150">
        <f t="shared" si="33"/>
        <v>12850</v>
      </c>
      <c r="BF71" s="150">
        <f t="shared" si="62"/>
        <v>640</v>
      </c>
      <c r="BG71" s="150">
        <f t="shared" si="34"/>
        <v>12.8</v>
      </c>
      <c r="BH71" s="150">
        <f t="shared" si="35"/>
        <v>0</v>
      </c>
      <c r="BI71" s="150">
        <f t="shared" si="36"/>
        <v>200</v>
      </c>
      <c r="BJ71" s="150">
        <f t="shared" si="37"/>
        <v>440</v>
      </c>
      <c r="BK71" s="150">
        <f t="shared" si="63"/>
        <v>115000</v>
      </c>
      <c r="BL71" s="150">
        <f t="shared" si="38"/>
        <v>575</v>
      </c>
      <c r="BM71" s="150">
        <f t="shared" si="39"/>
        <v>0</v>
      </c>
      <c r="BN71" s="150">
        <f t="shared" si="40"/>
        <v>0</v>
      </c>
      <c r="BO71" s="150">
        <f t="shared" si="41"/>
        <v>115000</v>
      </c>
      <c r="BP71" s="150">
        <f t="shared" si="64"/>
        <v>12000</v>
      </c>
      <c r="BQ71" s="150">
        <f t="shared" si="42"/>
        <v>50</v>
      </c>
      <c r="BR71" s="150">
        <f t="shared" si="43"/>
        <v>0</v>
      </c>
      <c r="BS71" s="150">
        <f t="shared" si="44"/>
        <v>0</v>
      </c>
      <c r="BT71" s="150">
        <f t="shared" si="45"/>
        <v>12000</v>
      </c>
      <c r="BU71" s="150">
        <f t="shared" si="65"/>
        <v>18144.169999999998</v>
      </c>
      <c r="BV71" s="150">
        <f t="shared" si="46"/>
        <v>241.92</v>
      </c>
      <c r="BW71" s="150">
        <f t="shared" si="47"/>
        <v>148.08000000000001</v>
      </c>
      <c r="BX71" s="150">
        <f t="shared" si="48"/>
        <v>0</v>
      </c>
      <c r="BY71" s="150">
        <f t="shared" si="49"/>
        <v>17996.09</v>
      </c>
      <c r="BZ71" s="147">
        <f t="shared" si="66"/>
        <v>200</v>
      </c>
      <c r="CA71" s="147">
        <f t="shared" si="67"/>
        <v>33765.760000000002</v>
      </c>
    </row>
    <row r="72" spans="11:79">
      <c r="K72" s="132">
        <f t="shared" si="50"/>
        <v>20</v>
      </c>
      <c r="L72" s="148">
        <f t="shared" si="0"/>
        <v>46265</v>
      </c>
      <c r="M72" s="131">
        <f t="shared" si="51"/>
        <v>35000</v>
      </c>
      <c r="N72" s="131">
        <f t="shared" si="1"/>
        <v>641.66999999999996</v>
      </c>
      <c r="O72" s="131">
        <f t="shared" si="2"/>
        <v>0</v>
      </c>
      <c r="P72" s="131">
        <f t="shared" si="3"/>
        <v>0</v>
      </c>
      <c r="Q72" s="131">
        <f t="shared" si="4"/>
        <v>35000</v>
      </c>
      <c r="R72" s="131">
        <f t="shared" si="52"/>
        <v>12850</v>
      </c>
      <c r="S72" s="131">
        <f t="shared" si="5"/>
        <v>203.46</v>
      </c>
      <c r="T72" s="131">
        <f t="shared" si="6"/>
        <v>0</v>
      </c>
      <c r="U72" s="131">
        <f t="shared" si="7"/>
        <v>0</v>
      </c>
      <c r="V72" s="131">
        <f t="shared" si="8"/>
        <v>12850</v>
      </c>
      <c r="W72" s="131">
        <f t="shared" si="53"/>
        <v>440</v>
      </c>
      <c r="X72" s="131">
        <f t="shared" si="9"/>
        <v>8.8000000000000007</v>
      </c>
      <c r="Y72" s="131">
        <f t="shared" si="10"/>
        <v>1.1999999999999993</v>
      </c>
      <c r="Z72" s="131">
        <f t="shared" si="11"/>
        <v>200</v>
      </c>
      <c r="AA72" s="131">
        <f t="shared" si="12"/>
        <v>238.8</v>
      </c>
      <c r="AB72" s="131">
        <f t="shared" si="54"/>
        <v>115000</v>
      </c>
      <c r="AC72" s="131">
        <f t="shared" si="13"/>
        <v>575</v>
      </c>
      <c r="AD72" s="131">
        <f t="shared" si="14"/>
        <v>0</v>
      </c>
      <c r="AE72" s="131">
        <f t="shared" si="15"/>
        <v>0</v>
      </c>
      <c r="AF72" s="131">
        <f t="shared" si="16"/>
        <v>115000</v>
      </c>
      <c r="AG72" s="131">
        <f t="shared" si="55"/>
        <v>12000</v>
      </c>
      <c r="AH72" s="131">
        <f t="shared" si="17"/>
        <v>50</v>
      </c>
      <c r="AI72" s="131">
        <f t="shared" si="18"/>
        <v>0</v>
      </c>
      <c r="AJ72" s="131">
        <f t="shared" si="19"/>
        <v>0</v>
      </c>
      <c r="AK72" s="131">
        <f t="shared" si="20"/>
        <v>12000</v>
      </c>
      <c r="AL72" s="131">
        <f t="shared" si="56"/>
        <v>17996.09</v>
      </c>
      <c r="AM72" s="131">
        <f t="shared" si="21"/>
        <v>239.95</v>
      </c>
      <c r="AN72" s="131">
        <f t="shared" si="22"/>
        <v>150.05000000000001</v>
      </c>
      <c r="AO72" s="131">
        <f t="shared" si="23"/>
        <v>0</v>
      </c>
      <c r="AP72" s="131">
        <f t="shared" si="24"/>
        <v>17846.04</v>
      </c>
      <c r="AQ72" s="149">
        <f t="shared" si="57"/>
        <v>200</v>
      </c>
      <c r="AR72" s="149">
        <f t="shared" si="58"/>
        <v>35484.639999999999</v>
      </c>
      <c r="AS72" s="133"/>
      <c r="AT72" s="132">
        <f t="shared" si="59"/>
        <v>20</v>
      </c>
      <c r="AU72" s="148">
        <f t="shared" si="25"/>
        <v>46265</v>
      </c>
      <c r="AV72" s="131">
        <f t="shared" si="60"/>
        <v>35000</v>
      </c>
      <c r="AW72" s="131">
        <f t="shared" si="26"/>
        <v>641.66999999999996</v>
      </c>
      <c r="AX72" s="131">
        <f t="shared" si="27"/>
        <v>0</v>
      </c>
      <c r="AY72" s="131">
        <f t="shared" si="28"/>
        <v>0</v>
      </c>
      <c r="AZ72" s="131">
        <f t="shared" si="29"/>
        <v>35000</v>
      </c>
      <c r="BA72" s="131">
        <f t="shared" si="61"/>
        <v>12850</v>
      </c>
      <c r="BB72" s="131">
        <f t="shared" si="30"/>
        <v>203.46</v>
      </c>
      <c r="BC72" s="131">
        <f t="shared" si="31"/>
        <v>0</v>
      </c>
      <c r="BD72" s="131">
        <f t="shared" si="32"/>
        <v>0</v>
      </c>
      <c r="BE72" s="131">
        <f t="shared" si="33"/>
        <v>12850</v>
      </c>
      <c r="BF72" s="131">
        <f t="shared" si="62"/>
        <v>440</v>
      </c>
      <c r="BG72" s="131">
        <f t="shared" si="34"/>
        <v>8.8000000000000007</v>
      </c>
      <c r="BH72" s="131">
        <f t="shared" si="35"/>
        <v>1.1999999999999993</v>
      </c>
      <c r="BI72" s="131">
        <f t="shared" si="36"/>
        <v>200</v>
      </c>
      <c r="BJ72" s="131">
        <f t="shared" si="37"/>
        <v>238.8</v>
      </c>
      <c r="BK72" s="131">
        <f t="shared" si="63"/>
        <v>115000</v>
      </c>
      <c r="BL72" s="131">
        <f t="shared" si="38"/>
        <v>575</v>
      </c>
      <c r="BM72" s="131">
        <f t="shared" si="39"/>
        <v>0</v>
      </c>
      <c r="BN72" s="131">
        <f t="shared" si="40"/>
        <v>0</v>
      </c>
      <c r="BO72" s="131">
        <f t="shared" si="41"/>
        <v>115000</v>
      </c>
      <c r="BP72" s="131">
        <f t="shared" si="64"/>
        <v>12000</v>
      </c>
      <c r="BQ72" s="131">
        <f t="shared" si="42"/>
        <v>50</v>
      </c>
      <c r="BR72" s="131">
        <f t="shared" si="43"/>
        <v>0</v>
      </c>
      <c r="BS72" s="131">
        <f t="shared" si="44"/>
        <v>0</v>
      </c>
      <c r="BT72" s="131">
        <f t="shared" si="45"/>
        <v>12000</v>
      </c>
      <c r="BU72" s="131">
        <f t="shared" si="65"/>
        <v>17996.09</v>
      </c>
      <c r="BV72" s="131">
        <f t="shared" si="46"/>
        <v>239.95</v>
      </c>
      <c r="BW72" s="131">
        <f t="shared" si="47"/>
        <v>150.05000000000001</v>
      </c>
      <c r="BX72" s="131">
        <f t="shared" si="48"/>
        <v>0</v>
      </c>
      <c r="BY72" s="131">
        <f t="shared" si="49"/>
        <v>17846.04</v>
      </c>
      <c r="BZ72" s="147">
        <f t="shared" si="66"/>
        <v>200</v>
      </c>
      <c r="CA72" s="147">
        <f t="shared" si="67"/>
        <v>35484.639999999999</v>
      </c>
    </row>
    <row r="73" spans="11:79">
      <c r="K73" s="152">
        <f t="shared" si="50"/>
        <v>21</v>
      </c>
      <c r="L73" s="151">
        <f t="shared" si="0"/>
        <v>46295</v>
      </c>
      <c r="M73" s="150">
        <f t="shared" si="51"/>
        <v>35000</v>
      </c>
      <c r="N73" s="150">
        <f t="shared" si="1"/>
        <v>641.66999999999996</v>
      </c>
      <c r="O73" s="150">
        <f t="shared" si="2"/>
        <v>0</v>
      </c>
      <c r="P73" s="150">
        <f t="shared" si="3"/>
        <v>0</v>
      </c>
      <c r="Q73" s="150">
        <f t="shared" si="4"/>
        <v>35000</v>
      </c>
      <c r="R73" s="150">
        <f t="shared" si="52"/>
        <v>12850</v>
      </c>
      <c r="S73" s="150">
        <f t="shared" si="5"/>
        <v>203.46</v>
      </c>
      <c r="T73" s="150">
        <f t="shared" si="6"/>
        <v>0</v>
      </c>
      <c r="U73" s="150">
        <f t="shared" si="7"/>
        <v>0</v>
      </c>
      <c r="V73" s="150">
        <f t="shared" si="8"/>
        <v>12850</v>
      </c>
      <c r="W73" s="150">
        <f t="shared" si="53"/>
        <v>238.8</v>
      </c>
      <c r="X73" s="150">
        <f t="shared" si="9"/>
        <v>4.78</v>
      </c>
      <c r="Y73" s="150">
        <f t="shared" si="10"/>
        <v>5.22</v>
      </c>
      <c r="Z73" s="150">
        <f t="shared" si="11"/>
        <v>200</v>
      </c>
      <c r="AA73" s="150">
        <f t="shared" si="12"/>
        <v>33.58</v>
      </c>
      <c r="AB73" s="150">
        <f t="shared" si="54"/>
        <v>115000</v>
      </c>
      <c r="AC73" s="150">
        <f t="shared" si="13"/>
        <v>575</v>
      </c>
      <c r="AD73" s="150">
        <f t="shared" si="14"/>
        <v>0</v>
      </c>
      <c r="AE73" s="150">
        <f t="shared" si="15"/>
        <v>0</v>
      </c>
      <c r="AF73" s="150">
        <f t="shared" si="16"/>
        <v>115000</v>
      </c>
      <c r="AG73" s="150">
        <f t="shared" si="55"/>
        <v>12000</v>
      </c>
      <c r="AH73" s="150">
        <f t="shared" si="17"/>
        <v>50</v>
      </c>
      <c r="AI73" s="150">
        <f t="shared" si="18"/>
        <v>0</v>
      </c>
      <c r="AJ73" s="150">
        <f t="shared" si="19"/>
        <v>0</v>
      </c>
      <c r="AK73" s="150">
        <f t="shared" si="20"/>
        <v>12000</v>
      </c>
      <c r="AL73" s="150">
        <f t="shared" si="56"/>
        <v>17846.04</v>
      </c>
      <c r="AM73" s="150">
        <f t="shared" si="21"/>
        <v>237.95</v>
      </c>
      <c r="AN73" s="150">
        <f t="shared" si="22"/>
        <v>152.05000000000001</v>
      </c>
      <c r="AO73" s="150">
        <f t="shared" si="23"/>
        <v>0</v>
      </c>
      <c r="AP73" s="150">
        <f t="shared" si="24"/>
        <v>17693.990000000002</v>
      </c>
      <c r="AQ73" s="149">
        <f t="shared" si="57"/>
        <v>200</v>
      </c>
      <c r="AR73" s="149">
        <f t="shared" si="58"/>
        <v>37197.5</v>
      </c>
      <c r="AS73" s="133"/>
      <c r="AT73" s="152">
        <f t="shared" si="59"/>
        <v>21</v>
      </c>
      <c r="AU73" s="151">
        <f t="shared" si="25"/>
        <v>46295</v>
      </c>
      <c r="AV73" s="150">
        <f t="shared" si="60"/>
        <v>35000</v>
      </c>
      <c r="AW73" s="150">
        <f t="shared" si="26"/>
        <v>641.66999999999996</v>
      </c>
      <c r="AX73" s="150">
        <f t="shared" si="27"/>
        <v>0</v>
      </c>
      <c r="AY73" s="150">
        <f t="shared" si="28"/>
        <v>0</v>
      </c>
      <c r="AZ73" s="150">
        <f t="shared" si="29"/>
        <v>35000</v>
      </c>
      <c r="BA73" s="150">
        <f t="shared" si="61"/>
        <v>12850</v>
      </c>
      <c r="BB73" s="150">
        <f t="shared" si="30"/>
        <v>203.46</v>
      </c>
      <c r="BC73" s="150">
        <f t="shared" si="31"/>
        <v>0</v>
      </c>
      <c r="BD73" s="150">
        <f t="shared" si="32"/>
        <v>0</v>
      </c>
      <c r="BE73" s="150">
        <f t="shared" si="33"/>
        <v>12850</v>
      </c>
      <c r="BF73" s="150">
        <f t="shared" si="62"/>
        <v>238.8</v>
      </c>
      <c r="BG73" s="150">
        <f t="shared" si="34"/>
        <v>4.78</v>
      </c>
      <c r="BH73" s="150">
        <f t="shared" si="35"/>
        <v>5.22</v>
      </c>
      <c r="BI73" s="150">
        <f t="shared" si="36"/>
        <v>200</v>
      </c>
      <c r="BJ73" s="150">
        <f t="shared" si="37"/>
        <v>33.58</v>
      </c>
      <c r="BK73" s="150">
        <f t="shared" si="63"/>
        <v>115000</v>
      </c>
      <c r="BL73" s="150">
        <f t="shared" si="38"/>
        <v>575</v>
      </c>
      <c r="BM73" s="150">
        <f t="shared" si="39"/>
        <v>0</v>
      </c>
      <c r="BN73" s="150">
        <f t="shared" si="40"/>
        <v>0</v>
      </c>
      <c r="BO73" s="150">
        <f t="shared" si="41"/>
        <v>115000</v>
      </c>
      <c r="BP73" s="150">
        <f t="shared" si="64"/>
        <v>12000</v>
      </c>
      <c r="BQ73" s="150">
        <f t="shared" si="42"/>
        <v>50</v>
      </c>
      <c r="BR73" s="150">
        <f t="shared" si="43"/>
        <v>0</v>
      </c>
      <c r="BS73" s="150">
        <f t="shared" si="44"/>
        <v>0</v>
      </c>
      <c r="BT73" s="150">
        <f t="shared" si="45"/>
        <v>12000</v>
      </c>
      <c r="BU73" s="150">
        <f t="shared" si="65"/>
        <v>17846.04</v>
      </c>
      <c r="BV73" s="150">
        <f t="shared" si="46"/>
        <v>237.95</v>
      </c>
      <c r="BW73" s="150">
        <f t="shared" si="47"/>
        <v>152.05000000000001</v>
      </c>
      <c r="BX73" s="150">
        <f t="shared" si="48"/>
        <v>0</v>
      </c>
      <c r="BY73" s="150">
        <f t="shared" si="49"/>
        <v>17693.990000000002</v>
      </c>
      <c r="BZ73" s="147">
        <f t="shared" si="66"/>
        <v>200</v>
      </c>
      <c r="CA73" s="147">
        <f t="shared" si="67"/>
        <v>37197.5</v>
      </c>
    </row>
    <row r="74" spans="11:79">
      <c r="K74" s="132">
        <f t="shared" si="50"/>
        <v>22</v>
      </c>
      <c r="L74" s="148">
        <f t="shared" si="0"/>
        <v>46326</v>
      </c>
      <c r="M74" s="131">
        <f t="shared" si="51"/>
        <v>35000</v>
      </c>
      <c r="N74" s="131">
        <f t="shared" si="1"/>
        <v>641.66999999999996</v>
      </c>
      <c r="O74" s="131">
        <f t="shared" si="2"/>
        <v>0</v>
      </c>
      <c r="P74" s="131">
        <f t="shared" si="3"/>
        <v>0</v>
      </c>
      <c r="Q74" s="131">
        <f t="shared" si="4"/>
        <v>35000</v>
      </c>
      <c r="R74" s="131">
        <f t="shared" si="52"/>
        <v>12850</v>
      </c>
      <c r="S74" s="131">
        <f t="shared" si="5"/>
        <v>203.46</v>
      </c>
      <c r="T74" s="131">
        <f t="shared" si="6"/>
        <v>0</v>
      </c>
      <c r="U74" s="131">
        <f t="shared" si="7"/>
        <v>0</v>
      </c>
      <c r="V74" s="131">
        <f t="shared" si="8"/>
        <v>12850</v>
      </c>
      <c r="W74" s="131">
        <f t="shared" si="53"/>
        <v>33.58</v>
      </c>
      <c r="X74" s="131">
        <f t="shared" si="9"/>
        <v>0.67</v>
      </c>
      <c r="Y74" s="131">
        <f t="shared" si="10"/>
        <v>9.33</v>
      </c>
      <c r="Z74" s="131">
        <f t="shared" si="11"/>
        <v>24.25</v>
      </c>
      <c r="AA74" s="131">
        <f t="shared" si="12"/>
        <v>0</v>
      </c>
      <c r="AB74" s="131">
        <f t="shared" si="54"/>
        <v>115000</v>
      </c>
      <c r="AC74" s="131">
        <f t="shared" si="13"/>
        <v>575</v>
      </c>
      <c r="AD74" s="131">
        <f t="shared" si="14"/>
        <v>0</v>
      </c>
      <c r="AE74" s="131">
        <f t="shared" si="15"/>
        <v>0</v>
      </c>
      <c r="AF74" s="131">
        <f t="shared" si="16"/>
        <v>115000</v>
      </c>
      <c r="AG74" s="131">
        <f t="shared" si="55"/>
        <v>12000</v>
      </c>
      <c r="AH74" s="131">
        <f t="shared" si="17"/>
        <v>50</v>
      </c>
      <c r="AI74" s="131">
        <f t="shared" si="18"/>
        <v>0</v>
      </c>
      <c r="AJ74" s="131">
        <f t="shared" si="19"/>
        <v>0</v>
      </c>
      <c r="AK74" s="131">
        <f t="shared" si="20"/>
        <v>12000</v>
      </c>
      <c r="AL74" s="131">
        <f t="shared" si="56"/>
        <v>17693.990000000002</v>
      </c>
      <c r="AM74" s="131">
        <f t="shared" si="21"/>
        <v>235.92</v>
      </c>
      <c r="AN74" s="131">
        <f t="shared" si="22"/>
        <v>154.08000000000001</v>
      </c>
      <c r="AO74" s="131">
        <f t="shared" si="23"/>
        <v>0</v>
      </c>
      <c r="AP74" s="131">
        <f t="shared" si="24"/>
        <v>17539.91</v>
      </c>
      <c r="AQ74" s="149">
        <f t="shared" si="57"/>
        <v>200</v>
      </c>
      <c r="AR74" s="149">
        <f t="shared" si="58"/>
        <v>38904.22</v>
      </c>
      <c r="AS74" s="133"/>
      <c r="AT74" s="132">
        <f t="shared" si="59"/>
        <v>22</v>
      </c>
      <c r="AU74" s="148">
        <f t="shared" si="25"/>
        <v>46326</v>
      </c>
      <c r="AV74" s="131">
        <f t="shared" si="60"/>
        <v>35000</v>
      </c>
      <c r="AW74" s="131">
        <f t="shared" si="26"/>
        <v>641.66999999999996</v>
      </c>
      <c r="AX74" s="131">
        <f t="shared" si="27"/>
        <v>0</v>
      </c>
      <c r="AY74" s="131">
        <f t="shared" si="28"/>
        <v>0</v>
      </c>
      <c r="AZ74" s="131">
        <f t="shared" si="29"/>
        <v>35000</v>
      </c>
      <c r="BA74" s="131">
        <f t="shared" si="61"/>
        <v>12850</v>
      </c>
      <c r="BB74" s="131">
        <f t="shared" si="30"/>
        <v>203.46</v>
      </c>
      <c r="BC74" s="131">
        <f t="shared" si="31"/>
        <v>0</v>
      </c>
      <c r="BD74" s="131">
        <f t="shared" si="32"/>
        <v>0</v>
      </c>
      <c r="BE74" s="131">
        <f t="shared" si="33"/>
        <v>12850</v>
      </c>
      <c r="BF74" s="131">
        <f t="shared" si="62"/>
        <v>33.58</v>
      </c>
      <c r="BG74" s="131">
        <f t="shared" si="34"/>
        <v>0.67</v>
      </c>
      <c r="BH74" s="131">
        <f t="shared" si="35"/>
        <v>9.33</v>
      </c>
      <c r="BI74" s="131">
        <f t="shared" si="36"/>
        <v>24.25</v>
      </c>
      <c r="BJ74" s="131">
        <f t="shared" si="37"/>
        <v>0</v>
      </c>
      <c r="BK74" s="131">
        <f t="shared" si="63"/>
        <v>115000</v>
      </c>
      <c r="BL74" s="131">
        <f t="shared" si="38"/>
        <v>575</v>
      </c>
      <c r="BM74" s="131">
        <f t="shared" si="39"/>
        <v>0</v>
      </c>
      <c r="BN74" s="131">
        <f t="shared" si="40"/>
        <v>0</v>
      </c>
      <c r="BO74" s="131">
        <f t="shared" si="41"/>
        <v>115000</v>
      </c>
      <c r="BP74" s="131">
        <f t="shared" si="64"/>
        <v>12000</v>
      </c>
      <c r="BQ74" s="131">
        <f t="shared" si="42"/>
        <v>50</v>
      </c>
      <c r="BR74" s="131">
        <f t="shared" si="43"/>
        <v>0</v>
      </c>
      <c r="BS74" s="131">
        <f t="shared" si="44"/>
        <v>0</v>
      </c>
      <c r="BT74" s="131">
        <f t="shared" si="45"/>
        <v>12000</v>
      </c>
      <c r="BU74" s="131">
        <f t="shared" si="65"/>
        <v>17693.990000000002</v>
      </c>
      <c r="BV74" s="131">
        <f t="shared" si="46"/>
        <v>235.92</v>
      </c>
      <c r="BW74" s="131">
        <f t="shared" si="47"/>
        <v>154.08000000000001</v>
      </c>
      <c r="BX74" s="131">
        <f t="shared" si="48"/>
        <v>0</v>
      </c>
      <c r="BY74" s="131">
        <f t="shared" si="49"/>
        <v>17539.91</v>
      </c>
      <c r="BZ74" s="147">
        <f t="shared" si="66"/>
        <v>200</v>
      </c>
      <c r="CA74" s="147">
        <f t="shared" si="67"/>
        <v>38904.22</v>
      </c>
    </row>
    <row r="75" spans="11:79">
      <c r="K75" s="152">
        <f t="shared" si="50"/>
        <v>23</v>
      </c>
      <c r="L75" s="151">
        <f t="shared" si="0"/>
        <v>46356</v>
      </c>
      <c r="M75" s="150">
        <f t="shared" si="51"/>
        <v>35000</v>
      </c>
      <c r="N75" s="150">
        <f t="shared" si="1"/>
        <v>641.66999999999996</v>
      </c>
      <c r="O75" s="150">
        <f t="shared" si="2"/>
        <v>0</v>
      </c>
      <c r="P75" s="150">
        <f t="shared" si="3"/>
        <v>0</v>
      </c>
      <c r="Q75" s="150">
        <f t="shared" si="4"/>
        <v>35000</v>
      </c>
      <c r="R75" s="150">
        <f t="shared" si="52"/>
        <v>12850</v>
      </c>
      <c r="S75" s="150">
        <f t="shared" si="5"/>
        <v>203.46</v>
      </c>
      <c r="T75" s="150">
        <f t="shared" si="6"/>
        <v>0</v>
      </c>
      <c r="U75" s="150">
        <f t="shared" si="7"/>
        <v>0</v>
      </c>
      <c r="V75" s="150">
        <f t="shared" si="8"/>
        <v>12850</v>
      </c>
      <c r="W75" s="150">
        <f t="shared" si="53"/>
        <v>0</v>
      </c>
      <c r="X75" s="150">
        <f t="shared" si="9"/>
        <v>0</v>
      </c>
      <c r="Y75" s="150">
        <f t="shared" si="10"/>
        <v>0</v>
      </c>
      <c r="Z75" s="150">
        <f t="shared" si="11"/>
        <v>0</v>
      </c>
      <c r="AA75" s="150">
        <f t="shared" si="12"/>
        <v>0</v>
      </c>
      <c r="AB75" s="150">
        <f t="shared" si="54"/>
        <v>115000</v>
      </c>
      <c r="AC75" s="150">
        <f t="shared" si="13"/>
        <v>575</v>
      </c>
      <c r="AD75" s="150">
        <f t="shared" si="14"/>
        <v>0</v>
      </c>
      <c r="AE75" s="150">
        <f t="shared" si="15"/>
        <v>0</v>
      </c>
      <c r="AF75" s="150">
        <f t="shared" si="16"/>
        <v>115000</v>
      </c>
      <c r="AG75" s="150">
        <f t="shared" si="55"/>
        <v>12000</v>
      </c>
      <c r="AH75" s="150">
        <f t="shared" si="17"/>
        <v>50</v>
      </c>
      <c r="AI75" s="150">
        <f t="shared" si="18"/>
        <v>0</v>
      </c>
      <c r="AJ75" s="150">
        <f t="shared" si="19"/>
        <v>210</v>
      </c>
      <c r="AK75" s="150">
        <f t="shared" si="20"/>
        <v>11790</v>
      </c>
      <c r="AL75" s="150">
        <f t="shared" si="56"/>
        <v>17539.91</v>
      </c>
      <c r="AM75" s="150">
        <f t="shared" si="21"/>
        <v>233.87</v>
      </c>
      <c r="AN75" s="150">
        <f t="shared" si="22"/>
        <v>156.13</v>
      </c>
      <c r="AO75" s="150">
        <f t="shared" si="23"/>
        <v>0</v>
      </c>
      <c r="AP75" s="150">
        <f t="shared" si="24"/>
        <v>17383.78</v>
      </c>
      <c r="AQ75" s="149">
        <f t="shared" si="57"/>
        <v>210</v>
      </c>
      <c r="AR75" s="149">
        <f t="shared" si="58"/>
        <v>40608.22</v>
      </c>
      <c r="AS75" s="133"/>
      <c r="AT75" s="152">
        <f t="shared" si="59"/>
        <v>23</v>
      </c>
      <c r="AU75" s="151">
        <f t="shared" si="25"/>
        <v>46356</v>
      </c>
      <c r="AV75" s="150">
        <f t="shared" si="60"/>
        <v>35000</v>
      </c>
      <c r="AW75" s="150">
        <f t="shared" si="26"/>
        <v>641.66999999999996</v>
      </c>
      <c r="AX75" s="150">
        <f t="shared" si="27"/>
        <v>0</v>
      </c>
      <c r="AY75" s="150">
        <f t="shared" si="28"/>
        <v>210</v>
      </c>
      <c r="AZ75" s="150">
        <f t="shared" si="29"/>
        <v>34790</v>
      </c>
      <c r="BA75" s="150">
        <f t="shared" si="61"/>
        <v>12850</v>
      </c>
      <c r="BB75" s="150">
        <f t="shared" si="30"/>
        <v>203.46</v>
      </c>
      <c r="BC75" s="150">
        <f t="shared" si="31"/>
        <v>0</v>
      </c>
      <c r="BD75" s="150">
        <f t="shared" si="32"/>
        <v>0</v>
      </c>
      <c r="BE75" s="150">
        <f t="shared" si="33"/>
        <v>12850</v>
      </c>
      <c r="BF75" s="150">
        <f t="shared" si="62"/>
        <v>0</v>
      </c>
      <c r="BG75" s="150">
        <f t="shared" si="34"/>
        <v>0</v>
      </c>
      <c r="BH75" s="150">
        <f t="shared" si="35"/>
        <v>0</v>
      </c>
      <c r="BI75" s="150">
        <f t="shared" si="36"/>
        <v>0</v>
      </c>
      <c r="BJ75" s="150">
        <f t="shared" si="37"/>
        <v>0</v>
      </c>
      <c r="BK75" s="150">
        <f t="shared" si="63"/>
        <v>115000</v>
      </c>
      <c r="BL75" s="150">
        <f t="shared" si="38"/>
        <v>575</v>
      </c>
      <c r="BM75" s="150">
        <f t="shared" si="39"/>
        <v>0</v>
      </c>
      <c r="BN75" s="150">
        <f t="shared" si="40"/>
        <v>0</v>
      </c>
      <c r="BO75" s="150">
        <f t="shared" si="41"/>
        <v>115000</v>
      </c>
      <c r="BP75" s="150">
        <f t="shared" si="64"/>
        <v>12000</v>
      </c>
      <c r="BQ75" s="150">
        <f t="shared" si="42"/>
        <v>50</v>
      </c>
      <c r="BR75" s="150">
        <f t="shared" si="43"/>
        <v>0</v>
      </c>
      <c r="BS75" s="150">
        <f t="shared" si="44"/>
        <v>0</v>
      </c>
      <c r="BT75" s="150">
        <f t="shared" si="45"/>
        <v>12000</v>
      </c>
      <c r="BU75" s="150">
        <f t="shared" si="65"/>
        <v>17539.91</v>
      </c>
      <c r="BV75" s="150">
        <f t="shared" si="46"/>
        <v>233.87</v>
      </c>
      <c r="BW75" s="150">
        <f t="shared" si="47"/>
        <v>156.13</v>
      </c>
      <c r="BX75" s="150">
        <f t="shared" si="48"/>
        <v>0</v>
      </c>
      <c r="BY75" s="150">
        <f t="shared" si="49"/>
        <v>17383.78</v>
      </c>
      <c r="BZ75" s="147">
        <f t="shared" si="66"/>
        <v>210</v>
      </c>
      <c r="CA75" s="147">
        <f t="shared" si="67"/>
        <v>40608.22</v>
      </c>
    </row>
    <row r="76" spans="11:79">
      <c r="K76" s="132">
        <f t="shared" si="50"/>
        <v>24</v>
      </c>
      <c r="L76" s="148">
        <f t="shared" si="0"/>
        <v>46387</v>
      </c>
      <c r="M76" s="131">
        <f t="shared" si="51"/>
        <v>35000</v>
      </c>
      <c r="N76" s="131">
        <f t="shared" si="1"/>
        <v>641.66999999999996</v>
      </c>
      <c r="O76" s="131">
        <f t="shared" si="2"/>
        <v>0</v>
      </c>
      <c r="P76" s="131">
        <f t="shared" si="3"/>
        <v>0</v>
      </c>
      <c r="Q76" s="131">
        <f t="shared" si="4"/>
        <v>35000</v>
      </c>
      <c r="R76" s="131">
        <f t="shared" si="52"/>
        <v>12850</v>
      </c>
      <c r="S76" s="131">
        <f t="shared" si="5"/>
        <v>203.46</v>
      </c>
      <c r="T76" s="131">
        <f t="shared" si="6"/>
        <v>0</v>
      </c>
      <c r="U76" s="131">
        <f t="shared" si="7"/>
        <v>0</v>
      </c>
      <c r="V76" s="131">
        <f t="shared" si="8"/>
        <v>12850</v>
      </c>
      <c r="W76" s="131">
        <f t="shared" si="53"/>
        <v>0</v>
      </c>
      <c r="X76" s="131">
        <f t="shared" si="9"/>
        <v>0</v>
      </c>
      <c r="Y76" s="131">
        <f t="shared" si="10"/>
        <v>0</v>
      </c>
      <c r="Z76" s="131">
        <f t="shared" si="11"/>
        <v>0</v>
      </c>
      <c r="AA76" s="131">
        <f t="shared" si="12"/>
        <v>0</v>
      </c>
      <c r="AB76" s="131">
        <f t="shared" si="54"/>
        <v>115000</v>
      </c>
      <c r="AC76" s="131">
        <f t="shared" si="13"/>
        <v>575</v>
      </c>
      <c r="AD76" s="131">
        <f t="shared" si="14"/>
        <v>0</v>
      </c>
      <c r="AE76" s="131">
        <f t="shared" si="15"/>
        <v>0</v>
      </c>
      <c r="AF76" s="131">
        <f t="shared" si="16"/>
        <v>115000</v>
      </c>
      <c r="AG76" s="131">
        <f t="shared" si="55"/>
        <v>11790</v>
      </c>
      <c r="AH76" s="131">
        <f t="shared" si="17"/>
        <v>49.13</v>
      </c>
      <c r="AI76" s="131">
        <f t="shared" si="18"/>
        <v>0.86999999999999744</v>
      </c>
      <c r="AJ76" s="131">
        <f t="shared" si="19"/>
        <v>210</v>
      </c>
      <c r="AK76" s="131">
        <f t="shared" si="20"/>
        <v>11579.13</v>
      </c>
      <c r="AL76" s="131">
        <f t="shared" si="56"/>
        <v>17383.78</v>
      </c>
      <c r="AM76" s="131">
        <f t="shared" si="21"/>
        <v>231.78</v>
      </c>
      <c r="AN76" s="131">
        <f t="shared" si="22"/>
        <v>158.22</v>
      </c>
      <c r="AO76" s="131">
        <f t="shared" si="23"/>
        <v>0</v>
      </c>
      <c r="AP76" s="131">
        <f t="shared" si="24"/>
        <v>17225.560000000001</v>
      </c>
      <c r="AQ76" s="149">
        <f t="shared" si="57"/>
        <v>210</v>
      </c>
      <c r="AR76" s="149">
        <f t="shared" si="58"/>
        <v>42309.26</v>
      </c>
      <c r="AS76" s="133"/>
      <c r="AT76" s="132">
        <f t="shared" si="59"/>
        <v>24</v>
      </c>
      <c r="AU76" s="148">
        <f t="shared" si="25"/>
        <v>46387</v>
      </c>
      <c r="AV76" s="131">
        <f t="shared" si="60"/>
        <v>34790</v>
      </c>
      <c r="AW76" s="131">
        <f t="shared" si="26"/>
        <v>637.82000000000005</v>
      </c>
      <c r="AX76" s="131">
        <f t="shared" si="27"/>
        <v>0</v>
      </c>
      <c r="AY76" s="131">
        <f t="shared" si="28"/>
        <v>210</v>
      </c>
      <c r="AZ76" s="131">
        <f t="shared" si="29"/>
        <v>34580</v>
      </c>
      <c r="BA76" s="131">
        <f t="shared" si="61"/>
        <v>12850</v>
      </c>
      <c r="BB76" s="131">
        <f t="shared" si="30"/>
        <v>203.46</v>
      </c>
      <c r="BC76" s="131">
        <f t="shared" si="31"/>
        <v>0</v>
      </c>
      <c r="BD76" s="131">
        <f t="shared" si="32"/>
        <v>0</v>
      </c>
      <c r="BE76" s="131">
        <f t="shared" si="33"/>
        <v>12850</v>
      </c>
      <c r="BF76" s="131">
        <f t="shared" si="62"/>
        <v>0</v>
      </c>
      <c r="BG76" s="131">
        <f t="shared" si="34"/>
        <v>0</v>
      </c>
      <c r="BH76" s="131">
        <f t="shared" si="35"/>
        <v>0</v>
      </c>
      <c r="BI76" s="131">
        <f t="shared" si="36"/>
        <v>0</v>
      </c>
      <c r="BJ76" s="131">
        <f t="shared" si="37"/>
        <v>0</v>
      </c>
      <c r="BK76" s="131">
        <f t="shared" si="63"/>
        <v>115000</v>
      </c>
      <c r="BL76" s="131">
        <f t="shared" si="38"/>
        <v>575</v>
      </c>
      <c r="BM76" s="131">
        <f t="shared" si="39"/>
        <v>0</v>
      </c>
      <c r="BN76" s="131">
        <f t="shared" si="40"/>
        <v>0</v>
      </c>
      <c r="BO76" s="131">
        <f t="shared" si="41"/>
        <v>115000</v>
      </c>
      <c r="BP76" s="131">
        <f t="shared" si="64"/>
        <v>12000</v>
      </c>
      <c r="BQ76" s="131">
        <f t="shared" si="42"/>
        <v>50</v>
      </c>
      <c r="BR76" s="131">
        <f t="shared" si="43"/>
        <v>0</v>
      </c>
      <c r="BS76" s="131">
        <f t="shared" si="44"/>
        <v>0</v>
      </c>
      <c r="BT76" s="131">
        <f t="shared" si="45"/>
        <v>12000</v>
      </c>
      <c r="BU76" s="131">
        <f t="shared" si="65"/>
        <v>17383.78</v>
      </c>
      <c r="BV76" s="131">
        <f t="shared" si="46"/>
        <v>231.78</v>
      </c>
      <c r="BW76" s="131">
        <f t="shared" si="47"/>
        <v>158.22</v>
      </c>
      <c r="BX76" s="131">
        <f t="shared" si="48"/>
        <v>0</v>
      </c>
      <c r="BY76" s="131">
        <f t="shared" si="49"/>
        <v>17225.560000000001</v>
      </c>
      <c r="BZ76" s="147">
        <f t="shared" si="66"/>
        <v>210</v>
      </c>
      <c r="CA76" s="147">
        <f t="shared" si="67"/>
        <v>42306.28</v>
      </c>
    </row>
    <row r="77" spans="11:79">
      <c r="K77" s="152">
        <f t="shared" si="50"/>
        <v>25</v>
      </c>
      <c r="L77" s="151">
        <f t="shared" si="0"/>
        <v>46418</v>
      </c>
      <c r="M77" s="150">
        <f t="shared" si="51"/>
        <v>35000</v>
      </c>
      <c r="N77" s="150">
        <f t="shared" si="1"/>
        <v>641.66999999999996</v>
      </c>
      <c r="O77" s="150">
        <f t="shared" si="2"/>
        <v>0</v>
      </c>
      <c r="P77" s="150">
        <f t="shared" si="3"/>
        <v>0</v>
      </c>
      <c r="Q77" s="150">
        <f t="shared" si="4"/>
        <v>35000</v>
      </c>
      <c r="R77" s="150">
        <f t="shared" si="52"/>
        <v>12850</v>
      </c>
      <c r="S77" s="150">
        <f t="shared" si="5"/>
        <v>203.46</v>
      </c>
      <c r="T77" s="150">
        <f t="shared" si="6"/>
        <v>0</v>
      </c>
      <c r="U77" s="150">
        <f t="shared" si="7"/>
        <v>0</v>
      </c>
      <c r="V77" s="150">
        <f t="shared" si="8"/>
        <v>12850</v>
      </c>
      <c r="W77" s="150">
        <f t="shared" si="53"/>
        <v>0</v>
      </c>
      <c r="X77" s="150">
        <f t="shared" si="9"/>
        <v>0</v>
      </c>
      <c r="Y77" s="150">
        <f t="shared" si="10"/>
        <v>0</v>
      </c>
      <c r="Z77" s="150">
        <f t="shared" si="11"/>
        <v>0</v>
      </c>
      <c r="AA77" s="150">
        <f t="shared" si="12"/>
        <v>0</v>
      </c>
      <c r="AB77" s="150">
        <f t="shared" si="54"/>
        <v>115000</v>
      </c>
      <c r="AC77" s="150">
        <f t="shared" si="13"/>
        <v>575</v>
      </c>
      <c r="AD77" s="150">
        <f t="shared" si="14"/>
        <v>0</v>
      </c>
      <c r="AE77" s="150">
        <f t="shared" si="15"/>
        <v>0</v>
      </c>
      <c r="AF77" s="150">
        <f t="shared" si="16"/>
        <v>115000</v>
      </c>
      <c r="AG77" s="150">
        <f t="shared" si="55"/>
        <v>11579.13</v>
      </c>
      <c r="AH77" s="150">
        <f t="shared" si="17"/>
        <v>48.25</v>
      </c>
      <c r="AI77" s="150">
        <f t="shared" si="18"/>
        <v>1.75</v>
      </c>
      <c r="AJ77" s="150">
        <f t="shared" si="19"/>
        <v>210</v>
      </c>
      <c r="AK77" s="150">
        <f t="shared" si="20"/>
        <v>11367.38</v>
      </c>
      <c r="AL77" s="150">
        <f t="shared" si="56"/>
        <v>17225.560000000001</v>
      </c>
      <c r="AM77" s="150">
        <f t="shared" si="21"/>
        <v>229.67</v>
      </c>
      <c r="AN77" s="150">
        <f t="shared" si="22"/>
        <v>160.33000000000001</v>
      </c>
      <c r="AO77" s="150">
        <f t="shared" si="23"/>
        <v>0</v>
      </c>
      <c r="AP77" s="150">
        <f t="shared" si="24"/>
        <v>17065.23</v>
      </c>
      <c r="AQ77" s="149">
        <f t="shared" si="57"/>
        <v>210</v>
      </c>
      <c r="AR77" s="149">
        <f t="shared" si="58"/>
        <v>44007.310000000005</v>
      </c>
      <c r="AS77" s="133"/>
      <c r="AT77" s="152">
        <f t="shared" si="59"/>
        <v>25</v>
      </c>
      <c r="AU77" s="151">
        <f t="shared" si="25"/>
        <v>46418</v>
      </c>
      <c r="AV77" s="150">
        <f t="shared" si="60"/>
        <v>34580</v>
      </c>
      <c r="AW77" s="150">
        <f t="shared" si="26"/>
        <v>633.97</v>
      </c>
      <c r="AX77" s="150">
        <f t="shared" si="27"/>
        <v>0</v>
      </c>
      <c r="AY77" s="150">
        <f t="shared" si="28"/>
        <v>210</v>
      </c>
      <c r="AZ77" s="150">
        <f t="shared" si="29"/>
        <v>34370</v>
      </c>
      <c r="BA77" s="150">
        <f t="shared" si="61"/>
        <v>12850</v>
      </c>
      <c r="BB77" s="150">
        <f t="shared" si="30"/>
        <v>203.46</v>
      </c>
      <c r="BC77" s="150">
        <f t="shared" si="31"/>
        <v>0</v>
      </c>
      <c r="BD77" s="150">
        <f t="shared" si="32"/>
        <v>0</v>
      </c>
      <c r="BE77" s="150">
        <f t="shared" si="33"/>
        <v>12850</v>
      </c>
      <c r="BF77" s="150">
        <f t="shared" si="62"/>
        <v>0</v>
      </c>
      <c r="BG77" s="150">
        <f t="shared" si="34"/>
        <v>0</v>
      </c>
      <c r="BH77" s="150">
        <f t="shared" si="35"/>
        <v>0</v>
      </c>
      <c r="BI77" s="150">
        <f t="shared" si="36"/>
        <v>0</v>
      </c>
      <c r="BJ77" s="150">
        <f t="shared" si="37"/>
        <v>0</v>
      </c>
      <c r="BK77" s="150">
        <f t="shared" si="63"/>
        <v>115000</v>
      </c>
      <c r="BL77" s="150">
        <f t="shared" si="38"/>
        <v>575</v>
      </c>
      <c r="BM77" s="150">
        <f t="shared" si="39"/>
        <v>0</v>
      </c>
      <c r="BN77" s="150">
        <f t="shared" si="40"/>
        <v>0</v>
      </c>
      <c r="BO77" s="150">
        <f t="shared" si="41"/>
        <v>115000</v>
      </c>
      <c r="BP77" s="150">
        <f t="shared" si="64"/>
        <v>12000</v>
      </c>
      <c r="BQ77" s="150">
        <f t="shared" si="42"/>
        <v>50</v>
      </c>
      <c r="BR77" s="150">
        <f t="shared" si="43"/>
        <v>0</v>
      </c>
      <c r="BS77" s="150">
        <f t="shared" si="44"/>
        <v>0</v>
      </c>
      <c r="BT77" s="150">
        <f t="shared" si="45"/>
        <v>12000</v>
      </c>
      <c r="BU77" s="150">
        <f t="shared" si="65"/>
        <v>17225.560000000001</v>
      </c>
      <c r="BV77" s="150">
        <f t="shared" si="46"/>
        <v>229.67</v>
      </c>
      <c r="BW77" s="150">
        <f t="shared" si="47"/>
        <v>160.33000000000001</v>
      </c>
      <c r="BX77" s="150">
        <f t="shared" si="48"/>
        <v>0</v>
      </c>
      <c r="BY77" s="150">
        <f t="shared" si="49"/>
        <v>17065.23</v>
      </c>
      <c r="BZ77" s="147">
        <f t="shared" si="66"/>
        <v>210</v>
      </c>
      <c r="CA77" s="147">
        <f t="shared" si="67"/>
        <v>43998.38</v>
      </c>
    </row>
    <row r="78" spans="11:79">
      <c r="K78" s="132">
        <f t="shared" si="50"/>
        <v>26</v>
      </c>
      <c r="L78" s="148">
        <f t="shared" si="0"/>
        <v>46446</v>
      </c>
      <c r="M78" s="131">
        <f t="shared" si="51"/>
        <v>35000</v>
      </c>
      <c r="N78" s="131">
        <f t="shared" si="1"/>
        <v>641.66999999999996</v>
      </c>
      <c r="O78" s="131">
        <f t="shared" si="2"/>
        <v>0</v>
      </c>
      <c r="P78" s="131">
        <f t="shared" si="3"/>
        <v>0</v>
      </c>
      <c r="Q78" s="131">
        <f t="shared" si="4"/>
        <v>35000</v>
      </c>
      <c r="R78" s="131">
        <f t="shared" si="52"/>
        <v>12850</v>
      </c>
      <c r="S78" s="131">
        <f t="shared" si="5"/>
        <v>203.46</v>
      </c>
      <c r="T78" s="131">
        <f t="shared" si="6"/>
        <v>0</v>
      </c>
      <c r="U78" s="131">
        <f t="shared" si="7"/>
        <v>0</v>
      </c>
      <c r="V78" s="131">
        <f t="shared" si="8"/>
        <v>12850</v>
      </c>
      <c r="W78" s="131">
        <f t="shared" si="53"/>
        <v>0</v>
      </c>
      <c r="X78" s="131">
        <f t="shared" si="9"/>
        <v>0</v>
      </c>
      <c r="Y78" s="131">
        <f t="shared" si="10"/>
        <v>0</v>
      </c>
      <c r="Z78" s="131">
        <f t="shared" si="11"/>
        <v>0</v>
      </c>
      <c r="AA78" s="131">
        <f t="shared" si="12"/>
        <v>0</v>
      </c>
      <c r="AB78" s="131">
        <f t="shared" si="54"/>
        <v>115000</v>
      </c>
      <c r="AC78" s="131">
        <f t="shared" si="13"/>
        <v>575</v>
      </c>
      <c r="AD78" s="131">
        <f t="shared" si="14"/>
        <v>0</v>
      </c>
      <c r="AE78" s="131">
        <f t="shared" si="15"/>
        <v>0</v>
      </c>
      <c r="AF78" s="131">
        <f t="shared" si="16"/>
        <v>115000</v>
      </c>
      <c r="AG78" s="131">
        <f t="shared" si="55"/>
        <v>11367.38</v>
      </c>
      <c r="AH78" s="131">
        <f t="shared" si="17"/>
        <v>47.36</v>
      </c>
      <c r="AI78" s="131">
        <f t="shared" si="18"/>
        <v>2.6400000000000006</v>
      </c>
      <c r="AJ78" s="131">
        <f t="shared" si="19"/>
        <v>210</v>
      </c>
      <c r="AK78" s="131">
        <f t="shared" si="20"/>
        <v>11154.74</v>
      </c>
      <c r="AL78" s="131">
        <f t="shared" si="56"/>
        <v>17065.23</v>
      </c>
      <c r="AM78" s="131">
        <f t="shared" si="21"/>
        <v>227.54</v>
      </c>
      <c r="AN78" s="131">
        <f t="shared" si="22"/>
        <v>162.46</v>
      </c>
      <c r="AO78" s="131">
        <f t="shared" si="23"/>
        <v>0</v>
      </c>
      <c r="AP78" s="131">
        <f t="shared" si="24"/>
        <v>16902.77</v>
      </c>
      <c r="AQ78" s="149">
        <f t="shared" si="57"/>
        <v>210</v>
      </c>
      <c r="AR78" s="149">
        <f t="shared" si="58"/>
        <v>45702.340000000004</v>
      </c>
      <c r="AS78" s="133"/>
      <c r="AT78" s="132">
        <f t="shared" si="59"/>
        <v>26</v>
      </c>
      <c r="AU78" s="148">
        <f t="shared" si="25"/>
        <v>46446</v>
      </c>
      <c r="AV78" s="131">
        <f t="shared" si="60"/>
        <v>34370</v>
      </c>
      <c r="AW78" s="131">
        <f t="shared" si="26"/>
        <v>630.12</v>
      </c>
      <c r="AX78" s="131">
        <f t="shared" si="27"/>
        <v>0</v>
      </c>
      <c r="AY78" s="131">
        <f t="shared" si="28"/>
        <v>210</v>
      </c>
      <c r="AZ78" s="131">
        <f t="shared" si="29"/>
        <v>34160</v>
      </c>
      <c r="BA78" s="131">
        <f t="shared" si="61"/>
        <v>12850</v>
      </c>
      <c r="BB78" s="131">
        <f t="shared" si="30"/>
        <v>203.46</v>
      </c>
      <c r="BC78" s="131">
        <f t="shared" si="31"/>
        <v>0</v>
      </c>
      <c r="BD78" s="131">
        <f t="shared" si="32"/>
        <v>0</v>
      </c>
      <c r="BE78" s="131">
        <f t="shared" si="33"/>
        <v>12850</v>
      </c>
      <c r="BF78" s="131">
        <f t="shared" si="62"/>
        <v>0</v>
      </c>
      <c r="BG78" s="131">
        <f t="shared" si="34"/>
        <v>0</v>
      </c>
      <c r="BH78" s="131">
        <f t="shared" si="35"/>
        <v>0</v>
      </c>
      <c r="BI78" s="131">
        <f t="shared" si="36"/>
        <v>0</v>
      </c>
      <c r="BJ78" s="131">
        <f t="shared" si="37"/>
        <v>0</v>
      </c>
      <c r="BK78" s="131">
        <f t="shared" si="63"/>
        <v>115000</v>
      </c>
      <c r="BL78" s="131">
        <f t="shared" si="38"/>
        <v>575</v>
      </c>
      <c r="BM78" s="131">
        <f t="shared" si="39"/>
        <v>0</v>
      </c>
      <c r="BN78" s="131">
        <f t="shared" si="40"/>
        <v>0</v>
      </c>
      <c r="BO78" s="131">
        <f t="shared" si="41"/>
        <v>115000</v>
      </c>
      <c r="BP78" s="131">
        <f t="shared" si="64"/>
        <v>12000</v>
      </c>
      <c r="BQ78" s="131">
        <f t="shared" si="42"/>
        <v>50</v>
      </c>
      <c r="BR78" s="131">
        <f t="shared" si="43"/>
        <v>0</v>
      </c>
      <c r="BS78" s="131">
        <f t="shared" si="44"/>
        <v>0</v>
      </c>
      <c r="BT78" s="131">
        <f t="shared" si="45"/>
        <v>12000</v>
      </c>
      <c r="BU78" s="131">
        <f t="shared" si="65"/>
        <v>17065.23</v>
      </c>
      <c r="BV78" s="131">
        <f t="shared" si="46"/>
        <v>227.54</v>
      </c>
      <c r="BW78" s="131">
        <f t="shared" si="47"/>
        <v>162.46</v>
      </c>
      <c r="BX78" s="131">
        <f t="shared" si="48"/>
        <v>0</v>
      </c>
      <c r="BY78" s="131">
        <f t="shared" si="49"/>
        <v>16902.77</v>
      </c>
      <c r="BZ78" s="147">
        <f t="shared" si="66"/>
        <v>210</v>
      </c>
      <c r="CA78" s="147">
        <f t="shared" si="67"/>
        <v>45684.5</v>
      </c>
    </row>
    <row r="79" spans="11:79">
      <c r="K79" s="152">
        <f t="shared" si="50"/>
        <v>27</v>
      </c>
      <c r="L79" s="151">
        <f t="shared" si="0"/>
        <v>46477</v>
      </c>
      <c r="M79" s="150">
        <f t="shared" si="51"/>
        <v>35000</v>
      </c>
      <c r="N79" s="150">
        <f t="shared" si="1"/>
        <v>641.66999999999996</v>
      </c>
      <c r="O79" s="150">
        <f t="shared" si="2"/>
        <v>0</v>
      </c>
      <c r="P79" s="150">
        <f t="shared" si="3"/>
        <v>0</v>
      </c>
      <c r="Q79" s="150">
        <f t="shared" si="4"/>
        <v>35000</v>
      </c>
      <c r="R79" s="150">
        <f t="shared" si="52"/>
        <v>12850</v>
      </c>
      <c r="S79" s="150">
        <f t="shared" si="5"/>
        <v>203.46</v>
      </c>
      <c r="T79" s="150">
        <f t="shared" si="6"/>
        <v>0</v>
      </c>
      <c r="U79" s="150">
        <f t="shared" si="7"/>
        <v>0</v>
      </c>
      <c r="V79" s="150">
        <f t="shared" si="8"/>
        <v>12850</v>
      </c>
      <c r="W79" s="150">
        <f t="shared" si="53"/>
        <v>0</v>
      </c>
      <c r="X79" s="150">
        <f t="shared" si="9"/>
        <v>0</v>
      </c>
      <c r="Y79" s="150">
        <f t="shared" si="10"/>
        <v>0</v>
      </c>
      <c r="Z79" s="150">
        <f t="shared" si="11"/>
        <v>0</v>
      </c>
      <c r="AA79" s="150">
        <f t="shared" si="12"/>
        <v>0</v>
      </c>
      <c r="AB79" s="150">
        <f t="shared" si="54"/>
        <v>115000</v>
      </c>
      <c r="AC79" s="150">
        <f t="shared" si="13"/>
        <v>575</v>
      </c>
      <c r="AD79" s="150">
        <f t="shared" si="14"/>
        <v>0</v>
      </c>
      <c r="AE79" s="150">
        <f t="shared" si="15"/>
        <v>0</v>
      </c>
      <c r="AF79" s="150">
        <f t="shared" si="16"/>
        <v>115000</v>
      </c>
      <c r="AG79" s="150">
        <f t="shared" si="55"/>
        <v>11154.74</v>
      </c>
      <c r="AH79" s="150">
        <f t="shared" si="17"/>
        <v>46.48</v>
      </c>
      <c r="AI79" s="150">
        <f t="shared" si="18"/>
        <v>3.5200000000000031</v>
      </c>
      <c r="AJ79" s="150">
        <f t="shared" si="19"/>
        <v>210</v>
      </c>
      <c r="AK79" s="150">
        <f t="shared" si="20"/>
        <v>10941.22</v>
      </c>
      <c r="AL79" s="150">
        <f t="shared" si="56"/>
        <v>16902.77</v>
      </c>
      <c r="AM79" s="150">
        <f t="shared" si="21"/>
        <v>225.37</v>
      </c>
      <c r="AN79" s="150">
        <f t="shared" si="22"/>
        <v>164.63</v>
      </c>
      <c r="AO79" s="150">
        <f t="shared" si="23"/>
        <v>0</v>
      </c>
      <c r="AP79" s="150">
        <f t="shared" si="24"/>
        <v>16738.14</v>
      </c>
      <c r="AQ79" s="149">
        <f t="shared" si="57"/>
        <v>210</v>
      </c>
      <c r="AR79" s="149">
        <f t="shared" si="58"/>
        <v>47394.320000000007</v>
      </c>
      <c r="AS79" s="133"/>
      <c r="AT79" s="152">
        <f t="shared" si="59"/>
        <v>27</v>
      </c>
      <c r="AU79" s="151">
        <f t="shared" si="25"/>
        <v>46477</v>
      </c>
      <c r="AV79" s="150">
        <f t="shared" si="60"/>
        <v>34160</v>
      </c>
      <c r="AW79" s="150">
        <f t="shared" si="26"/>
        <v>626.27</v>
      </c>
      <c r="AX79" s="150">
        <f t="shared" si="27"/>
        <v>0</v>
      </c>
      <c r="AY79" s="150">
        <f t="shared" si="28"/>
        <v>210</v>
      </c>
      <c r="AZ79" s="150">
        <f t="shared" si="29"/>
        <v>33950</v>
      </c>
      <c r="BA79" s="150">
        <f t="shared" si="61"/>
        <v>12850</v>
      </c>
      <c r="BB79" s="150">
        <f t="shared" si="30"/>
        <v>203.46</v>
      </c>
      <c r="BC79" s="150">
        <f t="shared" si="31"/>
        <v>0</v>
      </c>
      <c r="BD79" s="150">
        <f t="shared" si="32"/>
        <v>0</v>
      </c>
      <c r="BE79" s="150">
        <f t="shared" si="33"/>
        <v>12850</v>
      </c>
      <c r="BF79" s="150">
        <f t="shared" si="62"/>
        <v>0</v>
      </c>
      <c r="BG79" s="150">
        <f t="shared" si="34"/>
        <v>0</v>
      </c>
      <c r="BH79" s="150">
        <f t="shared" si="35"/>
        <v>0</v>
      </c>
      <c r="BI79" s="150">
        <f t="shared" si="36"/>
        <v>0</v>
      </c>
      <c r="BJ79" s="150">
        <f t="shared" si="37"/>
        <v>0</v>
      </c>
      <c r="BK79" s="150">
        <f t="shared" si="63"/>
        <v>115000</v>
      </c>
      <c r="BL79" s="150">
        <f t="shared" si="38"/>
        <v>575</v>
      </c>
      <c r="BM79" s="150">
        <f t="shared" si="39"/>
        <v>0</v>
      </c>
      <c r="BN79" s="150">
        <f t="shared" si="40"/>
        <v>0</v>
      </c>
      <c r="BO79" s="150">
        <f t="shared" si="41"/>
        <v>115000</v>
      </c>
      <c r="BP79" s="150">
        <f t="shared" si="64"/>
        <v>12000</v>
      </c>
      <c r="BQ79" s="150">
        <f t="shared" si="42"/>
        <v>50</v>
      </c>
      <c r="BR79" s="150">
        <f t="shared" si="43"/>
        <v>0</v>
      </c>
      <c r="BS79" s="150">
        <f t="shared" si="44"/>
        <v>0</v>
      </c>
      <c r="BT79" s="150">
        <f t="shared" si="45"/>
        <v>12000</v>
      </c>
      <c r="BU79" s="150">
        <f t="shared" si="65"/>
        <v>16902.77</v>
      </c>
      <c r="BV79" s="150">
        <f t="shared" si="46"/>
        <v>225.37</v>
      </c>
      <c r="BW79" s="150">
        <f t="shared" si="47"/>
        <v>164.63</v>
      </c>
      <c r="BX79" s="150">
        <f t="shared" si="48"/>
        <v>0</v>
      </c>
      <c r="BY79" s="150">
        <f t="shared" si="49"/>
        <v>16738.14</v>
      </c>
      <c r="BZ79" s="147">
        <f t="shared" si="66"/>
        <v>210</v>
      </c>
      <c r="CA79" s="147">
        <f t="shared" si="67"/>
        <v>47364.6</v>
      </c>
    </row>
    <row r="80" spans="11:79">
      <c r="K80" s="132">
        <f t="shared" si="50"/>
        <v>28</v>
      </c>
      <c r="L80" s="148">
        <f t="shared" si="0"/>
        <v>46507</v>
      </c>
      <c r="M80" s="131">
        <f t="shared" si="51"/>
        <v>35000</v>
      </c>
      <c r="N80" s="131">
        <f t="shared" si="1"/>
        <v>641.66999999999996</v>
      </c>
      <c r="O80" s="131">
        <f t="shared" si="2"/>
        <v>0</v>
      </c>
      <c r="P80" s="131">
        <f t="shared" si="3"/>
        <v>0</v>
      </c>
      <c r="Q80" s="131">
        <f t="shared" si="4"/>
        <v>35000</v>
      </c>
      <c r="R80" s="131">
        <f t="shared" si="52"/>
        <v>12850</v>
      </c>
      <c r="S80" s="131">
        <f t="shared" si="5"/>
        <v>203.46</v>
      </c>
      <c r="T80" s="131">
        <f t="shared" si="6"/>
        <v>0</v>
      </c>
      <c r="U80" s="131">
        <f t="shared" si="7"/>
        <v>0</v>
      </c>
      <c r="V80" s="131">
        <f t="shared" si="8"/>
        <v>12850</v>
      </c>
      <c r="W80" s="131">
        <f t="shared" si="53"/>
        <v>0</v>
      </c>
      <c r="X80" s="131">
        <f t="shared" si="9"/>
        <v>0</v>
      </c>
      <c r="Y80" s="131">
        <f t="shared" si="10"/>
        <v>0</v>
      </c>
      <c r="Z80" s="131">
        <f t="shared" si="11"/>
        <v>0</v>
      </c>
      <c r="AA80" s="131">
        <f t="shared" si="12"/>
        <v>0</v>
      </c>
      <c r="AB80" s="131">
        <f t="shared" si="54"/>
        <v>115000</v>
      </c>
      <c r="AC80" s="131">
        <f t="shared" si="13"/>
        <v>575</v>
      </c>
      <c r="AD80" s="131">
        <f t="shared" si="14"/>
        <v>0</v>
      </c>
      <c r="AE80" s="131">
        <f t="shared" si="15"/>
        <v>0</v>
      </c>
      <c r="AF80" s="131">
        <f t="shared" si="16"/>
        <v>115000</v>
      </c>
      <c r="AG80" s="131">
        <f t="shared" si="55"/>
        <v>10941.22</v>
      </c>
      <c r="AH80" s="131">
        <f t="shared" si="17"/>
        <v>45.59</v>
      </c>
      <c r="AI80" s="131">
        <f t="shared" si="18"/>
        <v>4.4099999999999966</v>
      </c>
      <c r="AJ80" s="131">
        <f t="shared" si="19"/>
        <v>210</v>
      </c>
      <c r="AK80" s="131">
        <f t="shared" si="20"/>
        <v>10726.81</v>
      </c>
      <c r="AL80" s="131">
        <f t="shared" si="56"/>
        <v>16738.14</v>
      </c>
      <c r="AM80" s="131">
        <f t="shared" si="21"/>
        <v>223.18</v>
      </c>
      <c r="AN80" s="131">
        <f t="shared" si="22"/>
        <v>166.82</v>
      </c>
      <c r="AO80" s="131">
        <f t="shared" si="23"/>
        <v>0</v>
      </c>
      <c r="AP80" s="131">
        <f t="shared" si="24"/>
        <v>16571.32</v>
      </c>
      <c r="AQ80" s="149">
        <f t="shared" si="57"/>
        <v>210</v>
      </c>
      <c r="AR80" s="149">
        <f t="shared" si="58"/>
        <v>49083.220000000008</v>
      </c>
      <c r="AS80" s="133"/>
      <c r="AT80" s="132">
        <f t="shared" si="59"/>
        <v>28</v>
      </c>
      <c r="AU80" s="148">
        <f t="shared" si="25"/>
        <v>46507</v>
      </c>
      <c r="AV80" s="131">
        <f t="shared" si="60"/>
        <v>33950</v>
      </c>
      <c r="AW80" s="131">
        <f t="shared" si="26"/>
        <v>622.41999999999996</v>
      </c>
      <c r="AX80" s="131">
        <f t="shared" si="27"/>
        <v>0</v>
      </c>
      <c r="AY80" s="131">
        <f t="shared" si="28"/>
        <v>210</v>
      </c>
      <c r="AZ80" s="131">
        <f t="shared" si="29"/>
        <v>33740</v>
      </c>
      <c r="BA80" s="131">
        <f t="shared" si="61"/>
        <v>12850</v>
      </c>
      <c r="BB80" s="131">
        <f t="shared" si="30"/>
        <v>203.46</v>
      </c>
      <c r="BC80" s="131">
        <f t="shared" si="31"/>
        <v>0</v>
      </c>
      <c r="BD80" s="131">
        <f t="shared" si="32"/>
        <v>0</v>
      </c>
      <c r="BE80" s="131">
        <f t="shared" si="33"/>
        <v>12850</v>
      </c>
      <c r="BF80" s="131">
        <f t="shared" si="62"/>
        <v>0</v>
      </c>
      <c r="BG80" s="131">
        <f t="shared" si="34"/>
        <v>0</v>
      </c>
      <c r="BH80" s="131">
        <f t="shared" si="35"/>
        <v>0</v>
      </c>
      <c r="BI80" s="131">
        <f t="shared" si="36"/>
        <v>0</v>
      </c>
      <c r="BJ80" s="131">
        <f t="shared" si="37"/>
        <v>0</v>
      </c>
      <c r="BK80" s="131">
        <f t="shared" si="63"/>
        <v>115000</v>
      </c>
      <c r="BL80" s="131">
        <f t="shared" si="38"/>
        <v>575</v>
      </c>
      <c r="BM80" s="131">
        <f t="shared" si="39"/>
        <v>0</v>
      </c>
      <c r="BN80" s="131">
        <f t="shared" si="40"/>
        <v>0</v>
      </c>
      <c r="BO80" s="131">
        <f t="shared" si="41"/>
        <v>115000</v>
      </c>
      <c r="BP80" s="131">
        <f t="shared" si="64"/>
        <v>12000</v>
      </c>
      <c r="BQ80" s="131">
        <f t="shared" si="42"/>
        <v>50</v>
      </c>
      <c r="BR80" s="131">
        <f t="shared" si="43"/>
        <v>0</v>
      </c>
      <c r="BS80" s="131">
        <f t="shared" si="44"/>
        <v>0</v>
      </c>
      <c r="BT80" s="131">
        <f t="shared" si="45"/>
        <v>12000</v>
      </c>
      <c r="BU80" s="131">
        <f t="shared" si="65"/>
        <v>16738.14</v>
      </c>
      <c r="BV80" s="131">
        <f t="shared" si="46"/>
        <v>223.18</v>
      </c>
      <c r="BW80" s="131">
        <f t="shared" si="47"/>
        <v>166.82</v>
      </c>
      <c r="BX80" s="131">
        <f t="shared" si="48"/>
        <v>0</v>
      </c>
      <c r="BY80" s="131">
        <f t="shared" si="49"/>
        <v>16571.32</v>
      </c>
      <c r="BZ80" s="147">
        <f t="shared" si="66"/>
        <v>210</v>
      </c>
      <c r="CA80" s="147">
        <f t="shared" si="67"/>
        <v>49038.659999999996</v>
      </c>
    </row>
    <row r="81" spans="11:79">
      <c r="K81" s="152">
        <f t="shared" si="50"/>
        <v>29</v>
      </c>
      <c r="L81" s="151">
        <f t="shared" si="0"/>
        <v>46538</v>
      </c>
      <c r="M81" s="150">
        <f t="shared" si="51"/>
        <v>35000</v>
      </c>
      <c r="N81" s="150">
        <f t="shared" si="1"/>
        <v>641.66999999999996</v>
      </c>
      <c r="O81" s="150">
        <f t="shared" si="2"/>
        <v>0</v>
      </c>
      <c r="P81" s="150">
        <f t="shared" si="3"/>
        <v>0</v>
      </c>
      <c r="Q81" s="150">
        <f t="shared" si="4"/>
        <v>35000</v>
      </c>
      <c r="R81" s="150">
        <f t="shared" si="52"/>
        <v>12850</v>
      </c>
      <c r="S81" s="150">
        <f t="shared" si="5"/>
        <v>203.46</v>
      </c>
      <c r="T81" s="150">
        <f t="shared" si="6"/>
        <v>0</v>
      </c>
      <c r="U81" s="150">
        <f t="shared" si="7"/>
        <v>0</v>
      </c>
      <c r="V81" s="150">
        <f t="shared" si="8"/>
        <v>12850</v>
      </c>
      <c r="W81" s="150">
        <f t="shared" si="53"/>
        <v>0</v>
      </c>
      <c r="X81" s="150">
        <f t="shared" si="9"/>
        <v>0</v>
      </c>
      <c r="Y81" s="150">
        <f t="shared" si="10"/>
        <v>0</v>
      </c>
      <c r="Z81" s="150">
        <f t="shared" si="11"/>
        <v>0</v>
      </c>
      <c r="AA81" s="150">
        <f t="shared" si="12"/>
        <v>0</v>
      </c>
      <c r="AB81" s="150">
        <f t="shared" si="54"/>
        <v>115000</v>
      </c>
      <c r="AC81" s="150">
        <f t="shared" si="13"/>
        <v>575</v>
      </c>
      <c r="AD81" s="150">
        <f t="shared" si="14"/>
        <v>0</v>
      </c>
      <c r="AE81" s="150">
        <f t="shared" si="15"/>
        <v>0</v>
      </c>
      <c r="AF81" s="150">
        <f t="shared" si="16"/>
        <v>115000</v>
      </c>
      <c r="AG81" s="150">
        <f t="shared" si="55"/>
        <v>10726.81</v>
      </c>
      <c r="AH81" s="150">
        <f t="shared" si="17"/>
        <v>44.7</v>
      </c>
      <c r="AI81" s="150">
        <f t="shared" si="18"/>
        <v>5.2999999999999972</v>
      </c>
      <c r="AJ81" s="150">
        <f t="shared" si="19"/>
        <v>210</v>
      </c>
      <c r="AK81" s="150">
        <f t="shared" si="20"/>
        <v>10511.51</v>
      </c>
      <c r="AL81" s="150">
        <f t="shared" si="56"/>
        <v>16571.32</v>
      </c>
      <c r="AM81" s="150">
        <f t="shared" si="21"/>
        <v>220.95</v>
      </c>
      <c r="AN81" s="150">
        <f t="shared" si="22"/>
        <v>169.05</v>
      </c>
      <c r="AO81" s="150">
        <f t="shared" si="23"/>
        <v>0</v>
      </c>
      <c r="AP81" s="150">
        <f t="shared" si="24"/>
        <v>16402.27</v>
      </c>
      <c r="AQ81" s="149">
        <f t="shared" si="57"/>
        <v>210</v>
      </c>
      <c r="AR81" s="149">
        <f t="shared" si="58"/>
        <v>50769.000000000007</v>
      </c>
      <c r="AS81" s="133"/>
      <c r="AT81" s="152">
        <f t="shared" si="59"/>
        <v>29</v>
      </c>
      <c r="AU81" s="151">
        <f t="shared" si="25"/>
        <v>46538</v>
      </c>
      <c r="AV81" s="150">
        <f t="shared" si="60"/>
        <v>33740</v>
      </c>
      <c r="AW81" s="150">
        <f t="shared" si="26"/>
        <v>618.57000000000005</v>
      </c>
      <c r="AX81" s="150">
        <f t="shared" si="27"/>
        <v>0</v>
      </c>
      <c r="AY81" s="150">
        <f t="shared" si="28"/>
        <v>210</v>
      </c>
      <c r="AZ81" s="150">
        <f t="shared" si="29"/>
        <v>33530</v>
      </c>
      <c r="BA81" s="150">
        <f t="shared" si="61"/>
        <v>12850</v>
      </c>
      <c r="BB81" s="150">
        <f t="shared" si="30"/>
        <v>203.46</v>
      </c>
      <c r="BC81" s="150">
        <f t="shared" si="31"/>
        <v>0</v>
      </c>
      <c r="BD81" s="150">
        <f t="shared" si="32"/>
        <v>0</v>
      </c>
      <c r="BE81" s="150">
        <f t="shared" si="33"/>
        <v>12850</v>
      </c>
      <c r="BF81" s="150">
        <f t="shared" si="62"/>
        <v>0</v>
      </c>
      <c r="BG81" s="150">
        <f t="shared" si="34"/>
        <v>0</v>
      </c>
      <c r="BH81" s="150">
        <f t="shared" si="35"/>
        <v>0</v>
      </c>
      <c r="BI81" s="150">
        <f t="shared" si="36"/>
        <v>0</v>
      </c>
      <c r="BJ81" s="150">
        <f t="shared" si="37"/>
        <v>0</v>
      </c>
      <c r="BK81" s="150">
        <f t="shared" si="63"/>
        <v>115000</v>
      </c>
      <c r="BL81" s="150">
        <f t="shared" si="38"/>
        <v>575</v>
      </c>
      <c r="BM81" s="150">
        <f t="shared" si="39"/>
        <v>0</v>
      </c>
      <c r="BN81" s="150">
        <f t="shared" si="40"/>
        <v>0</v>
      </c>
      <c r="BO81" s="150">
        <f t="shared" si="41"/>
        <v>115000</v>
      </c>
      <c r="BP81" s="150">
        <f t="shared" si="64"/>
        <v>12000</v>
      </c>
      <c r="BQ81" s="150">
        <f t="shared" si="42"/>
        <v>50</v>
      </c>
      <c r="BR81" s="150">
        <f t="shared" si="43"/>
        <v>0</v>
      </c>
      <c r="BS81" s="150">
        <f t="shared" si="44"/>
        <v>0</v>
      </c>
      <c r="BT81" s="150">
        <f t="shared" si="45"/>
        <v>12000</v>
      </c>
      <c r="BU81" s="150">
        <f t="shared" si="65"/>
        <v>16571.32</v>
      </c>
      <c r="BV81" s="150">
        <f t="shared" si="46"/>
        <v>220.95</v>
      </c>
      <c r="BW81" s="150">
        <f t="shared" si="47"/>
        <v>169.05</v>
      </c>
      <c r="BX81" s="150">
        <f t="shared" si="48"/>
        <v>0</v>
      </c>
      <c r="BY81" s="150">
        <f t="shared" si="49"/>
        <v>16402.27</v>
      </c>
      <c r="BZ81" s="147">
        <f t="shared" si="66"/>
        <v>210</v>
      </c>
      <c r="CA81" s="147">
        <f t="shared" si="67"/>
        <v>50706.64</v>
      </c>
    </row>
    <row r="82" spans="11:79">
      <c r="K82" s="132">
        <f t="shared" si="50"/>
        <v>30</v>
      </c>
      <c r="L82" s="148">
        <f t="shared" si="0"/>
        <v>46568</v>
      </c>
      <c r="M82" s="131">
        <f t="shared" si="51"/>
        <v>35000</v>
      </c>
      <c r="N82" s="131">
        <f t="shared" si="1"/>
        <v>641.66999999999996</v>
      </c>
      <c r="O82" s="131">
        <f t="shared" si="2"/>
        <v>0</v>
      </c>
      <c r="P82" s="131">
        <f t="shared" si="3"/>
        <v>0</v>
      </c>
      <c r="Q82" s="131">
        <f t="shared" si="4"/>
        <v>35000</v>
      </c>
      <c r="R82" s="131">
        <f t="shared" si="52"/>
        <v>12850</v>
      </c>
      <c r="S82" s="131">
        <f t="shared" si="5"/>
        <v>203.46</v>
      </c>
      <c r="T82" s="131">
        <f t="shared" si="6"/>
        <v>0</v>
      </c>
      <c r="U82" s="131">
        <f t="shared" si="7"/>
        <v>0</v>
      </c>
      <c r="V82" s="131">
        <f t="shared" si="8"/>
        <v>12850</v>
      </c>
      <c r="W82" s="131">
        <f t="shared" si="53"/>
        <v>0</v>
      </c>
      <c r="X82" s="131">
        <f t="shared" si="9"/>
        <v>0</v>
      </c>
      <c r="Y82" s="131">
        <f t="shared" si="10"/>
        <v>0</v>
      </c>
      <c r="Z82" s="131">
        <f t="shared" si="11"/>
        <v>0</v>
      </c>
      <c r="AA82" s="131">
        <f t="shared" si="12"/>
        <v>0</v>
      </c>
      <c r="AB82" s="131">
        <f t="shared" si="54"/>
        <v>115000</v>
      </c>
      <c r="AC82" s="131">
        <f t="shared" si="13"/>
        <v>575</v>
      </c>
      <c r="AD82" s="131">
        <f t="shared" si="14"/>
        <v>0</v>
      </c>
      <c r="AE82" s="131">
        <f t="shared" si="15"/>
        <v>0</v>
      </c>
      <c r="AF82" s="131">
        <f t="shared" si="16"/>
        <v>115000</v>
      </c>
      <c r="AG82" s="131">
        <f t="shared" si="55"/>
        <v>10511.51</v>
      </c>
      <c r="AH82" s="131">
        <f t="shared" si="17"/>
        <v>43.8</v>
      </c>
      <c r="AI82" s="131">
        <f t="shared" si="18"/>
        <v>6.2000000000000028</v>
      </c>
      <c r="AJ82" s="131">
        <f t="shared" si="19"/>
        <v>210</v>
      </c>
      <c r="AK82" s="131">
        <f t="shared" si="20"/>
        <v>10295.31</v>
      </c>
      <c r="AL82" s="131">
        <f t="shared" si="56"/>
        <v>16402.27</v>
      </c>
      <c r="AM82" s="131">
        <f t="shared" si="21"/>
        <v>218.7</v>
      </c>
      <c r="AN82" s="131">
        <f t="shared" si="22"/>
        <v>171.3</v>
      </c>
      <c r="AO82" s="131">
        <f t="shared" si="23"/>
        <v>0</v>
      </c>
      <c r="AP82" s="131">
        <f t="shared" si="24"/>
        <v>16230.97</v>
      </c>
      <c r="AQ82" s="149">
        <f t="shared" si="57"/>
        <v>210</v>
      </c>
      <c r="AR82" s="149">
        <f t="shared" si="58"/>
        <v>52451.630000000005</v>
      </c>
      <c r="AS82" s="133"/>
      <c r="AT82" s="132">
        <f t="shared" si="59"/>
        <v>30</v>
      </c>
      <c r="AU82" s="148">
        <f t="shared" si="25"/>
        <v>46568</v>
      </c>
      <c r="AV82" s="131">
        <f t="shared" si="60"/>
        <v>33530</v>
      </c>
      <c r="AW82" s="131">
        <f t="shared" si="26"/>
        <v>614.72</v>
      </c>
      <c r="AX82" s="131">
        <f t="shared" si="27"/>
        <v>0</v>
      </c>
      <c r="AY82" s="131">
        <f t="shared" si="28"/>
        <v>210</v>
      </c>
      <c r="AZ82" s="131">
        <f t="shared" si="29"/>
        <v>33320</v>
      </c>
      <c r="BA82" s="131">
        <f t="shared" si="61"/>
        <v>12850</v>
      </c>
      <c r="BB82" s="131">
        <f t="shared" si="30"/>
        <v>203.46</v>
      </c>
      <c r="BC82" s="131">
        <f t="shared" si="31"/>
        <v>0</v>
      </c>
      <c r="BD82" s="131">
        <f t="shared" si="32"/>
        <v>0</v>
      </c>
      <c r="BE82" s="131">
        <f t="shared" si="33"/>
        <v>12850</v>
      </c>
      <c r="BF82" s="131">
        <f t="shared" si="62"/>
        <v>0</v>
      </c>
      <c r="BG82" s="131">
        <f t="shared" si="34"/>
        <v>0</v>
      </c>
      <c r="BH82" s="131">
        <f t="shared" si="35"/>
        <v>0</v>
      </c>
      <c r="BI82" s="131">
        <f t="shared" si="36"/>
        <v>0</v>
      </c>
      <c r="BJ82" s="131">
        <f t="shared" si="37"/>
        <v>0</v>
      </c>
      <c r="BK82" s="131">
        <f t="shared" si="63"/>
        <v>115000</v>
      </c>
      <c r="BL82" s="131">
        <f t="shared" si="38"/>
        <v>575</v>
      </c>
      <c r="BM82" s="131">
        <f t="shared" si="39"/>
        <v>0</v>
      </c>
      <c r="BN82" s="131">
        <f t="shared" si="40"/>
        <v>0</v>
      </c>
      <c r="BO82" s="131">
        <f t="shared" si="41"/>
        <v>115000</v>
      </c>
      <c r="BP82" s="131">
        <f t="shared" si="64"/>
        <v>12000</v>
      </c>
      <c r="BQ82" s="131">
        <f t="shared" si="42"/>
        <v>50</v>
      </c>
      <c r="BR82" s="131">
        <f t="shared" si="43"/>
        <v>0</v>
      </c>
      <c r="BS82" s="131">
        <f t="shared" si="44"/>
        <v>0</v>
      </c>
      <c r="BT82" s="131">
        <f t="shared" si="45"/>
        <v>12000</v>
      </c>
      <c r="BU82" s="131">
        <f t="shared" si="65"/>
        <v>16402.27</v>
      </c>
      <c r="BV82" s="131">
        <f t="shared" si="46"/>
        <v>218.7</v>
      </c>
      <c r="BW82" s="131">
        <f t="shared" si="47"/>
        <v>171.3</v>
      </c>
      <c r="BX82" s="131">
        <f t="shared" si="48"/>
        <v>0</v>
      </c>
      <c r="BY82" s="131">
        <f t="shared" si="49"/>
        <v>16230.97</v>
      </c>
      <c r="BZ82" s="147">
        <f t="shared" si="66"/>
        <v>210</v>
      </c>
      <c r="CA82" s="147">
        <f t="shared" si="67"/>
        <v>52368.52</v>
      </c>
    </row>
    <row r="83" spans="11:79">
      <c r="K83" s="152">
        <f t="shared" si="50"/>
        <v>31</v>
      </c>
      <c r="L83" s="151">
        <f t="shared" si="0"/>
        <v>46599</v>
      </c>
      <c r="M83" s="150">
        <f t="shared" si="51"/>
        <v>35000</v>
      </c>
      <c r="N83" s="150">
        <f t="shared" si="1"/>
        <v>641.66999999999996</v>
      </c>
      <c r="O83" s="150">
        <f t="shared" si="2"/>
        <v>0</v>
      </c>
      <c r="P83" s="150">
        <f t="shared" si="3"/>
        <v>0</v>
      </c>
      <c r="Q83" s="150">
        <f t="shared" si="4"/>
        <v>35000</v>
      </c>
      <c r="R83" s="150">
        <f t="shared" si="52"/>
        <v>12850</v>
      </c>
      <c r="S83" s="150">
        <f t="shared" si="5"/>
        <v>203.46</v>
      </c>
      <c r="T83" s="150">
        <f t="shared" si="6"/>
        <v>0</v>
      </c>
      <c r="U83" s="150">
        <f t="shared" si="7"/>
        <v>0</v>
      </c>
      <c r="V83" s="150">
        <f t="shared" si="8"/>
        <v>12850</v>
      </c>
      <c r="W83" s="150">
        <f t="shared" si="53"/>
        <v>0</v>
      </c>
      <c r="X83" s="150">
        <f t="shared" si="9"/>
        <v>0</v>
      </c>
      <c r="Y83" s="150">
        <f t="shared" si="10"/>
        <v>0</v>
      </c>
      <c r="Z83" s="150">
        <f t="shared" si="11"/>
        <v>0</v>
      </c>
      <c r="AA83" s="150">
        <f t="shared" si="12"/>
        <v>0</v>
      </c>
      <c r="AB83" s="150">
        <f t="shared" si="54"/>
        <v>115000</v>
      </c>
      <c r="AC83" s="150">
        <f t="shared" si="13"/>
        <v>575</v>
      </c>
      <c r="AD83" s="150">
        <f t="shared" si="14"/>
        <v>0</v>
      </c>
      <c r="AE83" s="150">
        <f t="shared" si="15"/>
        <v>0</v>
      </c>
      <c r="AF83" s="150">
        <f t="shared" si="16"/>
        <v>115000</v>
      </c>
      <c r="AG83" s="150">
        <f t="shared" si="55"/>
        <v>10295.31</v>
      </c>
      <c r="AH83" s="150">
        <f t="shared" si="17"/>
        <v>42.9</v>
      </c>
      <c r="AI83" s="150">
        <f t="shared" si="18"/>
        <v>7.1000000000000014</v>
      </c>
      <c r="AJ83" s="150">
        <f t="shared" si="19"/>
        <v>210</v>
      </c>
      <c r="AK83" s="150">
        <f t="shared" si="20"/>
        <v>10078.209999999999</v>
      </c>
      <c r="AL83" s="150">
        <f t="shared" si="56"/>
        <v>16230.97</v>
      </c>
      <c r="AM83" s="150">
        <f t="shared" si="21"/>
        <v>216.41</v>
      </c>
      <c r="AN83" s="150">
        <f t="shared" si="22"/>
        <v>173.59</v>
      </c>
      <c r="AO83" s="150">
        <f t="shared" si="23"/>
        <v>0</v>
      </c>
      <c r="AP83" s="150">
        <f t="shared" si="24"/>
        <v>16057.38</v>
      </c>
      <c r="AQ83" s="149">
        <f t="shared" si="57"/>
        <v>210</v>
      </c>
      <c r="AR83" s="149">
        <f t="shared" si="58"/>
        <v>54131.070000000007</v>
      </c>
      <c r="AS83" s="133"/>
      <c r="AT83" s="152">
        <f t="shared" si="59"/>
        <v>31</v>
      </c>
      <c r="AU83" s="151">
        <f t="shared" si="25"/>
        <v>46599</v>
      </c>
      <c r="AV83" s="150">
        <f t="shared" si="60"/>
        <v>33320</v>
      </c>
      <c r="AW83" s="150">
        <f t="shared" si="26"/>
        <v>610.87</v>
      </c>
      <c r="AX83" s="150">
        <f t="shared" si="27"/>
        <v>0</v>
      </c>
      <c r="AY83" s="150">
        <f t="shared" si="28"/>
        <v>210</v>
      </c>
      <c r="AZ83" s="150">
        <f t="shared" si="29"/>
        <v>33110</v>
      </c>
      <c r="BA83" s="150">
        <f t="shared" si="61"/>
        <v>12850</v>
      </c>
      <c r="BB83" s="150">
        <f t="shared" si="30"/>
        <v>203.46</v>
      </c>
      <c r="BC83" s="150">
        <f t="shared" si="31"/>
        <v>0</v>
      </c>
      <c r="BD83" s="150">
        <f t="shared" si="32"/>
        <v>0</v>
      </c>
      <c r="BE83" s="150">
        <f t="shared" si="33"/>
        <v>12850</v>
      </c>
      <c r="BF83" s="150">
        <f t="shared" si="62"/>
        <v>0</v>
      </c>
      <c r="BG83" s="150">
        <f t="shared" si="34"/>
        <v>0</v>
      </c>
      <c r="BH83" s="150">
        <f t="shared" si="35"/>
        <v>0</v>
      </c>
      <c r="BI83" s="150">
        <f t="shared" si="36"/>
        <v>0</v>
      </c>
      <c r="BJ83" s="150">
        <f t="shared" si="37"/>
        <v>0</v>
      </c>
      <c r="BK83" s="150">
        <f t="shared" si="63"/>
        <v>115000</v>
      </c>
      <c r="BL83" s="150">
        <f t="shared" si="38"/>
        <v>575</v>
      </c>
      <c r="BM83" s="150">
        <f t="shared" si="39"/>
        <v>0</v>
      </c>
      <c r="BN83" s="150">
        <f t="shared" si="40"/>
        <v>0</v>
      </c>
      <c r="BO83" s="150">
        <f t="shared" si="41"/>
        <v>115000</v>
      </c>
      <c r="BP83" s="150">
        <f t="shared" si="64"/>
        <v>12000</v>
      </c>
      <c r="BQ83" s="150">
        <f t="shared" si="42"/>
        <v>50</v>
      </c>
      <c r="BR83" s="150">
        <f t="shared" si="43"/>
        <v>0</v>
      </c>
      <c r="BS83" s="150">
        <f t="shared" si="44"/>
        <v>0</v>
      </c>
      <c r="BT83" s="150">
        <f t="shared" si="45"/>
        <v>12000</v>
      </c>
      <c r="BU83" s="150">
        <f t="shared" si="65"/>
        <v>16230.97</v>
      </c>
      <c r="BV83" s="150">
        <f t="shared" si="46"/>
        <v>216.41</v>
      </c>
      <c r="BW83" s="150">
        <f t="shared" si="47"/>
        <v>173.59</v>
      </c>
      <c r="BX83" s="150">
        <f t="shared" si="48"/>
        <v>0</v>
      </c>
      <c r="BY83" s="150">
        <f t="shared" si="49"/>
        <v>16057.38</v>
      </c>
      <c r="BZ83" s="147">
        <f t="shared" si="66"/>
        <v>210</v>
      </c>
      <c r="CA83" s="147">
        <f t="shared" si="67"/>
        <v>54024.259999999995</v>
      </c>
    </row>
    <row r="84" spans="11:79">
      <c r="K84" s="132">
        <f t="shared" si="50"/>
        <v>32</v>
      </c>
      <c r="L84" s="148">
        <f t="shared" si="0"/>
        <v>46630</v>
      </c>
      <c r="M84" s="131">
        <f t="shared" si="51"/>
        <v>35000</v>
      </c>
      <c r="N84" s="131">
        <f t="shared" si="1"/>
        <v>641.66999999999996</v>
      </c>
      <c r="O84" s="131">
        <f t="shared" si="2"/>
        <v>0</v>
      </c>
      <c r="P84" s="131">
        <f t="shared" si="3"/>
        <v>0</v>
      </c>
      <c r="Q84" s="131">
        <f t="shared" si="4"/>
        <v>35000</v>
      </c>
      <c r="R84" s="131">
        <f t="shared" si="52"/>
        <v>12850</v>
      </c>
      <c r="S84" s="131">
        <f t="shared" si="5"/>
        <v>203.46</v>
      </c>
      <c r="T84" s="131">
        <f t="shared" si="6"/>
        <v>0</v>
      </c>
      <c r="U84" s="131">
        <f t="shared" si="7"/>
        <v>0</v>
      </c>
      <c r="V84" s="131">
        <f t="shared" si="8"/>
        <v>12850</v>
      </c>
      <c r="W84" s="131">
        <f t="shared" si="53"/>
        <v>0</v>
      </c>
      <c r="X84" s="131">
        <f t="shared" si="9"/>
        <v>0</v>
      </c>
      <c r="Y84" s="131">
        <f t="shared" si="10"/>
        <v>0</v>
      </c>
      <c r="Z84" s="131">
        <f t="shared" si="11"/>
        <v>0</v>
      </c>
      <c r="AA84" s="131">
        <f t="shared" si="12"/>
        <v>0</v>
      </c>
      <c r="AB84" s="131">
        <f t="shared" si="54"/>
        <v>115000</v>
      </c>
      <c r="AC84" s="131">
        <f t="shared" si="13"/>
        <v>575</v>
      </c>
      <c r="AD84" s="131">
        <f t="shared" si="14"/>
        <v>0</v>
      </c>
      <c r="AE84" s="131">
        <f t="shared" si="15"/>
        <v>0</v>
      </c>
      <c r="AF84" s="131">
        <f t="shared" si="16"/>
        <v>115000</v>
      </c>
      <c r="AG84" s="131">
        <f t="shared" si="55"/>
        <v>10078.209999999999</v>
      </c>
      <c r="AH84" s="131">
        <f t="shared" si="17"/>
        <v>41.99</v>
      </c>
      <c r="AI84" s="131">
        <f t="shared" si="18"/>
        <v>8.009999999999998</v>
      </c>
      <c r="AJ84" s="131">
        <f t="shared" si="19"/>
        <v>210</v>
      </c>
      <c r="AK84" s="131">
        <f t="shared" si="20"/>
        <v>9860.2000000000007</v>
      </c>
      <c r="AL84" s="131">
        <f t="shared" si="56"/>
        <v>16057.38</v>
      </c>
      <c r="AM84" s="131">
        <f t="shared" si="21"/>
        <v>214.1</v>
      </c>
      <c r="AN84" s="131">
        <f t="shared" si="22"/>
        <v>175.9</v>
      </c>
      <c r="AO84" s="131">
        <f t="shared" si="23"/>
        <v>0</v>
      </c>
      <c r="AP84" s="131">
        <f t="shared" si="24"/>
        <v>15881.48</v>
      </c>
      <c r="AQ84" s="149">
        <f t="shared" si="57"/>
        <v>210</v>
      </c>
      <c r="AR84" s="149">
        <f t="shared" si="58"/>
        <v>55807.290000000008</v>
      </c>
      <c r="AS84" s="133"/>
      <c r="AT84" s="132">
        <f t="shared" si="59"/>
        <v>32</v>
      </c>
      <c r="AU84" s="148">
        <f t="shared" si="25"/>
        <v>46630</v>
      </c>
      <c r="AV84" s="131">
        <f t="shared" si="60"/>
        <v>33110</v>
      </c>
      <c r="AW84" s="131">
        <f t="shared" si="26"/>
        <v>607.02</v>
      </c>
      <c r="AX84" s="131">
        <f t="shared" si="27"/>
        <v>0</v>
      </c>
      <c r="AY84" s="131">
        <f t="shared" si="28"/>
        <v>210</v>
      </c>
      <c r="AZ84" s="131">
        <f t="shared" si="29"/>
        <v>32900</v>
      </c>
      <c r="BA84" s="131">
        <f t="shared" si="61"/>
        <v>12850</v>
      </c>
      <c r="BB84" s="131">
        <f t="shared" si="30"/>
        <v>203.46</v>
      </c>
      <c r="BC84" s="131">
        <f t="shared" si="31"/>
        <v>0</v>
      </c>
      <c r="BD84" s="131">
        <f t="shared" si="32"/>
        <v>0</v>
      </c>
      <c r="BE84" s="131">
        <f t="shared" si="33"/>
        <v>12850</v>
      </c>
      <c r="BF84" s="131">
        <f t="shared" si="62"/>
        <v>0</v>
      </c>
      <c r="BG84" s="131">
        <f t="shared" si="34"/>
        <v>0</v>
      </c>
      <c r="BH84" s="131">
        <f t="shared" si="35"/>
        <v>0</v>
      </c>
      <c r="BI84" s="131">
        <f t="shared" si="36"/>
        <v>0</v>
      </c>
      <c r="BJ84" s="131">
        <f t="shared" si="37"/>
        <v>0</v>
      </c>
      <c r="BK84" s="131">
        <f t="shared" si="63"/>
        <v>115000</v>
      </c>
      <c r="BL84" s="131">
        <f t="shared" si="38"/>
        <v>575</v>
      </c>
      <c r="BM84" s="131">
        <f t="shared" si="39"/>
        <v>0</v>
      </c>
      <c r="BN84" s="131">
        <f t="shared" si="40"/>
        <v>0</v>
      </c>
      <c r="BO84" s="131">
        <f t="shared" si="41"/>
        <v>115000</v>
      </c>
      <c r="BP84" s="131">
        <f t="shared" si="64"/>
        <v>12000</v>
      </c>
      <c r="BQ84" s="131">
        <f t="shared" si="42"/>
        <v>50</v>
      </c>
      <c r="BR84" s="131">
        <f t="shared" si="43"/>
        <v>0</v>
      </c>
      <c r="BS84" s="131">
        <f t="shared" si="44"/>
        <v>0</v>
      </c>
      <c r="BT84" s="131">
        <f t="shared" si="45"/>
        <v>12000</v>
      </c>
      <c r="BU84" s="131">
        <f t="shared" si="65"/>
        <v>16057.38</v>
      </c>
      <c r="BV84" s="131">
        <f t="shared" si="46"/>
        <v>214.1</v>
      </c>
      <c r="BW84" s="131">
        <f t="shared" si="47"/>
        <v>175.9</v>
      </c>
      <c r="BX84" s="131">
        <f t="shared" si="48"/>
        <v>0</v>
      </c>
      <c r="BY84" s="131">
        <f t="shared" si="49"/>
        <v>15881.48</v>
      </c>
      <c r="BZ84" s="147">
        <f t="shared" si="66"/>
        <v>210</v>
      </c>
      <c r="CA84" s="147">
        <f t="shared" si="67"/>
        <v>55673.84</v>
      </c>
    </row>
    <row r="85" spans="11:79">
      <c r="K85" s="152">
        <f t="shared" si="50"/>
        <v>33</v>
      </c>
      <c r="L85" s="151">
        <f t="shared" si="0"/>
        <v>46660</v>
      </c>
      <c r="M85" s="150">
        <f t="shared" si="51"/>
        <v>35000</v>
      </c>
      <c r="N85" s="150">
        <f t="shared" si="1"/>
        <v>641.66999999999996</v>
      </c>
      <c r="O85" s="150">
        <f t="shared" si="2"/>
        <v>0</v>
      </c>
      <c r="P85" s="150">
        <f t="shared" si="3"/>
        <v>0</v>
      </c>
      <c r="Q85" s="150">
        <f t="shared" si="4"/>
        <v>35000</v>
      </c>
      <c r="R85" s="150">
        <f t="shared" si="52"/>
        <v>12850</v>
      </c>
      <c r="S85" s="150">
        <f t="shared" si="5"/>
        <v>203.46</v>
      </c>
      <c r="T85" s="150">
        <f t="shared" si="6"/>
        <v>0</v>
      </c>
      <c r="U85" s="150">
        <f t="shared" si="7"/>
        <v>0</v>
      </c>
      <c r="V85" s="150">
        <f t="shared" si="8"/>
        <v>12850</v>
      </c>
      <c r="W85" s="150">
        <f t="shared" si="53"/>
        <v>0</v>
      </c>
      <c r="X85" s="150">
        <f t="shared" si="9"/>
        <v>0</v>
      </c>
      <c r="Y85" s="150">
        <f t="shared" si="10"/>
        <v>0</v>
      </c>
      <c r="Z85" s="150">
        <f t="shared" si="11"/>
        <v>0</v>
      </c>
      <c r="AA85" s="150">
        <f t="shared" si="12"/>
        <v>0</v>
      </c>
      <c r="AB85" s="150">
        <f t="shared" si="54"/>
        <v>115000</v>
      </c>
      <c r="AC85" s="150">
        <f t="shared" si="13"/>
        <v>575</v>
      </c>
      <c r="AD85" s="150">
        <f t="shared" si="14"/>
        <v>0</v>
      </c>
      <c r="AE85" s="150">
        <f t="shared" si="15"/>
        <v>0</v>
      </c>
      <c r="AF85" s="150">
        <f t="shared" si="16"/>
        <v>115000</v>
      </c>
      <c r="AG85" s="150">
        <f t="shared" si="55"/>
        <v>9860.2000000000007</v>
      </c>
      <c r="AH85" s="150">
        <f t="shared" si="17"/>
        <v>41.08</v>
      </c>
      <c r="AI85" s="150">
        <f t="shared" si="18"/>
        <v>8.9200000000000017</v>
      </c>
      <c r="AJ85" s="150">
        <f t="shared" si="19"/>
        <v>210</v>
      </c>
      <c r="AK85" s="150">
        <f t="shared" si="20"/>
        <v>9641.2800000000007</v>
      </c>
      <c r="AL85" s="150">
        <f t="shared" si="56"/>
        <v>15881.48</v>
      </c>
      <c r="AM85" s="150">
        <f t="shared" si="21"/>
        <v>211.75</v>
      </c>
      <c r="AN85" s="150">
        <f t="shared" si="22"/>
        <v>178.25</v>
      </c>
      <c r="AO85" s="150">
        <f t="shared" si="23"/>
        <v>0</v>
      </c>
      <c r="AP85" s="150">
        <f t="shared" si="24"/>
        <v>15703.23</v>
      </c>
      <c r="AQ85" s="149">
        <f t="shared" si="57"/>
        <v>210</v>
      </c>
      <c r="AR85" s="149">
        <f t="shared" si="58"/>
        <v>57480.250000000007</v>
      </c>
      <c r="AS85" s="133"/>
      <c r="AT85" s="152">
        <f t="shared" si="59"/>
        <v>33</v>
      </c>
      <c r="AU85" s="151">
        <f t="shared" si="25"/>
        <v>46660</v>
      </c>
      <c r="AV85" s="150">
        <f t="shared" si="60"/>
        <v>32900</v>
      </c>
      <c r="AW85" s="150">
        <f t="shared" si="26"/>
        <v>603.16999999999996</v>
      </c>
      <c r="AX85" s="150">
        <f t="shared" si="27"/>
        <v>0</v>
      </c>
      <c r="AY85" s="150">
        <f t="shared" si="28"/>
        <v>210</v>
      </c>
      <c r="AZ85" s="150">
        <f t="shared" si="29"/>
        <v>32690</v>
      </c>
      <c r="BA85" s="150">
        <f t="shared" si="61"/>
        <v>12850</v>
      </c>
      <c r="BB85" s="150">
        <f t="shared" si="30"/>
        <v>203.46</v>
      </c>
      <c r="BC85" s="150">
        <f t="shared" si="31"/>
        <v>0</v>
      </c>
      <c r="BD85" s="150">
        <f t="shared" si="32"/>
        <v>0</v>
      </c>
      <c r="BE85" s="150">
        <f t="shared" si="33"/>
        <v>12850</v>
      </c>
      <c r="BF85" s="150">
        <f t="shared" si="62"/>
        <v>0</v>
      </c>
      <c r="BG85" s="150">
        <f t="shared" si="34"/>
        <v>0</v>
      </c>
      <c r="BH85" s="150">
        <f t="shared" si="35"/>
        <v>0</v>
      </c>
      <c r="BI85" s="150">
        <f t="shared" si="36"/>
        <v>0</v>
      </c>
      <c r="BJ85" s="150">
        <f t="shared" si="37"/>
        <v>0</v>
      </c>
      <c r="BK85" s="150">
        <f t="shared" si="63"/>
        <v>115000</v>
      </c>
      <c r="BL85" s="150">
        <f t="shared" si="38"/>
        <v>575</v>
      </c>
      <c r="BM85" s="150">
        <f t="shared" si="39"/>
        <v>0</v>
      </c>
      <c r="BN85" s="150">
        <f t="shared" si="40"/>
        <v>0</v>
      </c>
      <c r="BO85" s="150">
        <f t="shared" si="41"/>
        <v>115000</v>
      </c>
      <c r="BP85" s="150">
        <f t="shared" si="64"/>
        <v>12000</v>
      </c>
      <c r="BQ85" s="150">
        <f t="shared" si="42"/>
        <v>50</v>
      </c>
      <c r="BR85" s="150">
        <f t="shared" si="43"/>
        <v>0</v>
      </c>
      <c r="BS85" s="150">
        <f t="shared" si="44"/>
        <v>0</v>
      </c>
      <c r="BT85" s="150">
        <f t="shared" si="45"/>
        <v>12000</v>
      </c>
      <c r="BU85" s="150">
        <f t="shared" si="65"/>
        <v>15881.48</v>
      </c>
      <c r="BV85" s="150">
        <f t="shared" si="46"/>
        <v>211.75</v>
      </c>
      <c r="BW85" s="150">
        <f t="shared" si="47"/>
        <v>178.25</v>
      </c>
      <c r="BX85" s="150">
        <f t="shared" si="48"/>
        <v>0</v>
      </c>
      <c r="BY85" s="150">
        <f t="shared" si="49"/>
        <v>15703.23</v>
      </c>
      <c r="BZ85" s="147">
        <f t="shared" si="66"/>
        <v>210</v>
      </c>
      <c r="CA85" s="147">
        <f t="shared" si="67"/>
        <v>57317.219999999994</v>
      </c>
    </row>
    <row r="86" spans="11:79">
      <c r="K86" s="132">
        <f t="shared" si="50"/>
        <v>34</v>
      </c>
      <c r="L86" s="148">
        <f t="shared" si="0"/>
        <v>46691</v>
      </c>
      <c r="M86" s="131">
        <f t="shared" si="51"/>
        <v>35000</v>
      </c>
      <c r="N86" s="131">
        <f t="shared" si="1"/>
        <v>641.66999999999996</v>
      </c>
      <c r="O86" s="131">
        <f t="shared" si="2"/>
        <v>0</v>
      </c>
      <c r="P86" s="131">
        <f t="shared" si="3"/>
        <v>0</v>
      </c>
      <c r="Q86" s="131">
        <f t="shared" si="4"/>
        <v>35000</v>
      </c>
      <c r="R86" s="131">
        <f t="shared" si="52"/>
        <v>12850</v>
      </c>
      <c r="S86" s="131">
        <f t="shared" si="5"/>
        <v>203.46</v>
      </c>
      <c r="T86" s="131">
        <f t="shared" si="6"/>
        <v>0</v>
      </c>
      <c r="U86" s="131">
        <f t="shared" si="7"/>
        <v>0</v>
      </c>
      <c r="V86" s="131">
        <f t="shared" si="8"/>
        <v>12850</v>
      </c>
      <c r="W86" s="131">
        <f t="shared" si="53"/>
        <v>0</v>
      </c>
      <c r="X86" s="131">
        <f t="shared" si="9"/>
        <v>0</v>
      </c>
      <c r="Y86" s="131">
        <f t="shared" si="10"/>
        <v>0</v>
      </c>
      <c r="Z86" s="131">
        <f t="shared" si="11"/>
        <v>0</v>
      </c>
      <c r="AA86" s="131">
        <f t="shared" si="12"/>
        <v>0</v>
      </c>
      <c r="AB86" s="131">
        <f t="shared" si="54"/>
        <v>115000</v>
      </c>
      <c r="AC86" s="131">
        <f t="shared" si="13"/>
        <v>575</v>
      </c>
      <c r="AD86" s="131">
        <f t="shared" si="14"/>
        <v>0</v>
      </c>
      <c r="AE86" s="131">
        <f t="shared" si="15"/>
        <v>0</v>
      </c>
      <c r="AF86" s="131">
        <f t="shared" si="16"/>
        <v>115000</v>
      </c>
      <c r="AG86" s="131">
        <f t="shared" si="55"/>
        <v>9641.2800000000007</v>
      </c>
      <c r="AH86" s="131">
        <f t="shared" si="17"/>
        <v>40.17</v>
      </c>
      <c r="AI86" s="131">
        <f t="shared" si="18"/>
        <v>9.8299999999999983</v>
      </c>
      <c r="AJ86" s="131">
        <f t="shared" si="19"/>
        <v>210</v>
      </c>
      <c r="AK86" s="131">
        <f t="shared" si="20"/>
        <v>9421.4500000000007</v>
      </c>
      <c r="AL86" s="131">
        <f t="shared" si="56"/>
        <v>15703.23</v>
      </c>
      <c r="AM86" s="131">
        <f t="shared" si="21"/>
        <v>209.38</v>
      </c>
      <c r="AN86" s="131">
        <f t="shared" si="22"/>
        <v>180.62</v>
      </c>
      <c r="AO86" s="131">
        <f t="shared" si="23"/>
        <v>0</v>
      </c>
      <c r="AP86" s="131">
        <f t="shared" si="24"/>
        <v>15522.61</v>
      </c>
      <c r="AQ86" s="149">
        <f t="shared" si="57"/>
        <v>210</v>
      </c>
      <c r="AR86" s="149">
        <f t="shared" si="58"/>
        <v>59149.930000000008</v>
      </c>
      <c r="AS86" s="133"/>
      <c r="AT86" s="132">
        <f t="shared" si="59"/>
        <v>34</v>
      </c>
      <c r="AU86" s="148">
        <f t="shared" si="25"/>
        <v>46691</v>
      </c>
      <c r="AV86" s="131">
        <f t="shared" si="60"/>
        <v>32690</v>
      </c>
      <c r="AW86" s="131">
        <f t="shared" si="26"/>
        <v>599.32000000000005</v>
      </c>
      <c r="AX86" s="131">
        <f t="shared" si="27"/>
        <v>0</v>
      </c>
      <c r="AY86" s="131">
        <f t="shared" si="28"/>
        <v>210</v>
      </c>
      <c r="AZ86" s="131">
        <f t="shared" si="29"/>
        <v>32480</v>
      </c>
      <c r="BA86" s="131">
        <f t="shared" si="61"/>
        <v>12850</v>
      </c>
      <c r="BB86" s="131">
        <f t="shared" si="30"/>
        <v>203.46</v>
      </c>
      <c r="BC86" s="131">
        <f t="shared" si="31"/>
        <v>0</v>
      </c>
      <c r="BD86" s="131">
        <f t="shared" si="32"/>
        <v>0</v>
      </c>
      <c r="BE86" s="131">
        <f t="shared" si="33"/>
        <v>12850</v>
      </c>
      <c r="BF86" s="131">
        <f t="shared" si="62"/>
        <v>0</v>
      </c>
      <c r="BG86" s="131">
        <f t="shared" si="34"/>
        <v>0</v>
      </c>
      <c r="BH86" s="131">
        <f t="shared" si="35"/>
        <v>0</v>
      </c>
      <c r="BI86" s="131">
        <f t="shared" si="36"/>
        <v>0</v>
      </c>
      <c r="BJ86" s="131">
        <f t="shared" si="37"/>
        <v>0</v>
      </c>
      <c r="BK86" s="131">
        <f t="shared" si="63"/>
        <v>115000</v>
      </c>
      <c r="BL86" s="131">
        <f t="shared" si="38"/>
        <v>575</v>
      </c>
      <c r="BM86" s="131">
        <f t="shared" si="39"/>
        <v>0</v>
      </c>
      <c r="BN86" s="131">
        <f t="shared" si="40"/>
        <v>0</v>
      </c>
      <c r="BO86" s="131">
        <f t="shared" si="41"/>
        <v>115000</v>
      </c>
      <c r="BP86" s="131">
        <f t="shared" si="64"/>
        <v>12000</v>
      </c>
      <c r="BQ86" s="131">
        <f t="shared" si="42"/>
        <v>50</v>
      </c>
      <c r="BR86" s="131">
        <f t="shared" si="43"/>
        <v>0</v>
      </c>
      <c r="BS86" s="131">
        <f t="shared" si="44"/>
        <v>0</v>
      </c>
      <c r="BT86" s="131">
        <f t="shared" si="45"/>
        <v>12000</v>
      </c>
      <c r="BU86" s="131">
        <f t="shared" si="65"/>
        <v>15703.23</v>
      </c>
      <c r="BV86" s="131">
        <f t="shared" si="46"/>
        <v>209.38</v>
      </c>
      <c r="BW86" s="131">
        <f t="shared" si="47"/>
        <v>180.62</v>
      </c>
      <c r="BX86" s="131">
        <f t="shared" si="48"/>
        <v>0</v>
      </c>
      <c r="BY86" s="131">
        <f t="shared" si="49"/>
        <v>15522.61</v>
      </c>
      <c r="BZ86" s="147">
        <f t="shared" si="66"/>
        <v>210</v>
      </c>
      <c r="CA86" s="147">
        <f t="shared" si="67"/>
        <v>58954.38</v>
      </c>
    </row>
    <row r="87" spans="11:79">
      <c r="K87" s="152">
        <f t="shared" si="50"/>
        <v>35</v>
      </c>
      <c r="L87" s="151">
        <f t="shared" si="0"/>
        <v>46721</v>
      </c>
      <c r="M87" s="150">
        <f t="shared" si="51"/>
        <v>35000</v>
      </c>
      <c r="N87" s="150">
        <f t="shared" si="1"/>
        <v>641.66999999999996</v>
      </c>
      <c r="O87" s="150">
        <f t="shared" si="2"/>
        <v>0</v>
      </c>
      <c r="P87" s="150">
        <f t="shared" si="3"/>
        <v>0</v>
      </c>
      <c r="Q87" s="150">
        <f t="shared" si="4"/>
        <v>35000</v>
      </c>
      <c r="R87" s="150">
        <f t="shared" si="52"/>
        <v>12850</v>
      </c>
      <c r="S87" s="150">
        <f t="shared" si="5"/>
        <v>203.46</v>
      </c>
      <c r="T87" s="150">
        <f t="shared" si="6"/>
        <v>0</v>
      </c>
      <c r="U87" s="150">
        <f t="shared" si="7"/>
        <v>0</v>
      </c>
      <c r="V87" s="150">
        <f t="shared" si="8"/>
        <v>12850</v>
      </c>
      <c r="W87" s="150">
        <f t="shared" si="53"/>
        <v>0</v>
      </c>
      <c r="X87" s="150">
        <f t="shared" si="9"/>
        <v>0</v>
      </c>
      <c r="Y87" s="150">
        <f t="shared" si="10"/>
        <v>0</v>
      </c>
      <c r="Z87" s="150">
        <f t="shared" si="11"/>
        <v>0</v>
      </c>
      <c r="AA87" s="150">
        <f t="shared" si="12"/>
        <v>0</v>
      </c>
      <c r="AB87" s="150">
        <f t="shared" si="54"/>
        <v>115000</v>
      </c>
      <c r="AC87" s="150">
        <f t="shared" si="13"/>
        <v>575</v>
      </c>
      <c r="AD87" s="150">
        <f t="shared" si="14"/>
        <v>0</v>
      </c>
      <c r="AE87" s="150">
        <f t="shared" si="15"/>
        <v>0</v>
      </c>
      <c r="AF87" s="150">
        <f t="shared" si="16"/>
        <v>115000</v>
      </c>
      <c r="AG87" s="150">
        <f t="shared" si="55"/>
        <v>9421.4500000000007</v>
      </c>
      <c r="AH87" s="150">
        <f t="shared" si="17"/>
        <v>39.26</v>
      </c>
      <c r="AI87" s="150">
        <f t="shared" si="18"/>
        <v>10.740000000000002</v>
      </c>
      <c r="AJ87" s="150">
        <f t="shared" si="19"/>
        <v>210</v>
      </c>
      <c r="AK87" s="150">
        <f t="shared" si="20"/>
        <v>9200.7099999999991</v>
      </c>
      <c r="AL87" s="150">
        <f t="shared" si="56"/>
        <v>15522.61</v>
      </c>
      <c r="AM87" s="150">
        <f t="shared" si="21"/>
        <v>206.97</v>
      </c>
      <c r="AN87" s="150">
        <f t="shared" si="22"/>
        <v>183.03</v>
      </c>
      <c r="AO87" s="150">
        <f t="shared" si="23"/>
        <v>0</v>
      </c>
      <c r="AP87" s="150">
        <f t="shared" si="24"/>
        <v>15339.58</v>
      </c>
      <c r="AQ87" s="149">
        <f t="shared" si="57"/>
        <v>210</v>
      </c>
      <c r="AR87" s="149">
        <f t="shared" si="58"/>
        <v>60816.290000000008</v>
      </c>
      <c r="AS87" s="133"/>
      <c r="AT87" s="152">
        <f t="shared" si="59"/>
        <v>35</v>
      </c>
      <c r="AU87" s="151">
        <f t="shared" si="25"/>
        <v>46721</v>
      </c>
      <c r="AV87" s="150">
        <f t="shared" si="60"/>
        <v>32480</v>
      </c>
      <c r="AW87" s="150">
        <f t="shared" si="26"/>
        <v>595.47</v>
      </c>
      <c r="AX87" s="150">
        <f t="shared" si="27"/>
        <v>0</v>
      </c>
      <c r="AY87" s="150">
        <f t="shared" si="28"/>
        <v>210</v>
      </c>
      <c r="AZ87" s="150">
        <f t="shared" si="29"/>
        <v>32270</v>
      </c>
      <c r="BA87" s="150">
        <f t="shared" si="61"/>
        <v>12850</v>
      </c>
      <c r="BB87" s="150">
        <f t="shared" si="30"/>
        <v>203.46</v>
      </c>
      <c r="BC87" s="150">
        <f t="shared" si="31"/>
        <v>0</v>
      </c>
      <c r="BD87" s="150">
        <f t="shared" si="32"/>
        <v>0</v>
      </c>
      <c r="BE87" s="150">
        <f t="shared" si="33"/>
        <v>12850</v>
      </c>
      <c r="BF87" s="150">
        <f t="shared" si="62"/>
        <v>0</v>
      </c>
      <c r="BG87" s="150">
        <f t="shared" si="34"/>
        <v>0</v>
      </c>
      <c r="BH87" s="150">
        <f t="shared" si="35"/>
        <v>0</v>
      </c>
      <c r="BI87" s="150">
        <f t="shared" si="36"/>
        <v>0</v>
      </c>
      <c r="BJ87" s="150">
        <f t="shared" si="37"/>
        <v>0</v>
      </c>
      <c r="BK87" s="150">
        <f t="shared" si="63"/>
        <v>115000</v>
      </c>
      <c r="BL87" s="150">
        <f t="shared" si="38"/>
        <v>575</v>
      </c>
      <c r="BM87" s="150">
        <f t="shared" si="39"/>
        <v>0</v>
      </c>
      <c r="BN87" s="150">
        <f t="shared" si="40"/>
        <v>0</v>
      </c>
      <c r="BO87" s="150">
        <f t="shared" si="41"/>
        <v>115000</v>
      </c>
      <c r="BP87" s="150">
        <f t="shared" si="64"/>
        <v>12000</v>
      </c>
      <c r="BQ87" s="150">
        <f t="shared" si="42"/>
        <v>50</v>
      </c>
      <c r="BR87" s="150">
        <f t="shared" si="43"/>
        <v>0</v>
      </c>
      <c r="BS87" s="150">
        <f t="shared" si="44"/>
        <v>0</v>
      </c>
      <c r="BT87" s="150">
        <f t="shared" si="45"/>
        <v>12000</v>
      </c>
      <c r="BU87" s="150">
        <f t="shared" si="65"/>
        <v>15522.61</v>
      </c>
      <c r="BV87" s="150">
        <f t="shared" si="46"/>
        <v>206.97</v>
      </c>
      <c r="BW87" s="150">
        <f t="shared" si="47"/>
        <v>183.03</v>
      </c>
      <c r="BX87" s="150">
        <f t="shared" si="48"/>
        <v>0</v>
      </c>
      <c r="BY87" s="150">
        <f t="shared" si="49"/>
        <v>15339.58</v>
      </c>
      <c r="BZ87" s="147">
        <f t="shared" si="66"/>
        <v>210</v>
      </c>
      <c r="CA87" s="147">
        <f t="shared" si="67"/>
        <v>60585.279999999999</v>
      </c>
    </row>
    <row r="88" spans="11:79">
      <c r="K88" s="132">
        <f t="shared" si="50"/>
        <v>36</v>
      </c>
      <c r="L88" s="148">
        <f t="shared" si="0"/>
        <v>46752</v>
      </c>
      <c r="M88" s="131">
        <f t="shared" si="51"/>
        <v>35000</v>
      </c>
      <c r="N88" s="131">
        <f t="shared" si="1"/>
        <v>641.66999999999996</v>
      </c>
      <c r="O88" s="131">
        <f t="shared" si="2"/>
        <v>0</v>
      </c>
      <c r="P88" s="131">
        <f t="shared" si="3"/>
        <v>0</v>
      </c>
      <c r="Q88" s="131">
        <f t="shared" si="4"/>
        <v>35000</v>
      </c>
      <c r="R88" s="131">
        <f t="shared" si="52"/>
        <v>12850</v>
      </c>
      <c r="S88" s="131">
        <f t="shared" si="5"/>
        <v>203.46</v>
      </c>
      <c r="T88" s="131">
        <f t="shared" si="6"/>
        <v>0</v>
      </c>
      <c r="U88" s="131">
        <f t="shared" si="7"/>
        <v>0</v>
      </c>
      <c r="V88" s="131">
        <f t="shared" si="8"/>
        <v>12850</v>
      </c>
      <c r="W88" s="131">
        <f t="shared" si="53"/>
        <v>0</v>
      </c>
      <c r="X88" s="131">
        <f t="shared" si="9"/>
        <v>0</v>
      </c>
      <c r="Y88" s="131">
        <f t="shared" si="10"/>
        <v>0</v>
      </c>
      <c r="Z88" s="131">
        <f t="shared" si="11"/>
        <v>0</v>
      </c>
      <c r="AA88" s="131">
        <f t="shared" si="12"/>
        <v>0</v>
      </c>
      <c r="AB88" s="131">
        <f t="shared" si="54"/>
        <v>115000</v>
      </c>
      <c r="AC88" s="131">
        <f t="shared" si="13"/>
        <v>575</v>
      </c>
      <c r="AD88" s="131">
        <f t="shared" si="14"/>
        <v>0</v>
      </c>
      <c r="AE88" s="131">
        <f t="shared" si="15"/>
        <v>0</v>
      </c>
      <c r="AF88" s="131">
        <f t="shared" si="16"/>
        <v>115000</v>
      </c>
      <c r="AG88" s="131">
        <f t="shared" si="55"/>
        <v>9200.7099999999991</v>
      </c>
      <c r="AH88" s="131">
        <f t="shared" si="17"/>
        <v>38.340000000000003</v>
      </c>
      <c r="AI88" s="131">
        <f t="shared" si="18"/>
        <v>11.659999999999997</v>
      </c>
      <c r="AJ88" s="131">
        <f t="shared" si="19"/>
        <v>210</v>
      </c>
      <c r="AK88" s="131">
        <f t="shared" si="20"/>
        <v>8979.0499999999993</v>
      </c>
      <c r="AL88" s="131">
        <f t="shared" si="56"/>
        <v>15339.58</v>
      </c>
      <c r="AM88" s="131">
        <f t="shared" si="21"/>
        <v>204.53</v>
      </c>
      <c r="AN88" s="131">
        <f t="shared" si="22"/>
        <v>185.47</v>
      </c>
      <c r="AO88" s="131">
        <f t="shared" si="23"/>
        <v>0</v>
      </c>
      <c r="AP88" s="131">
        <f t="shared" si="24"/>
        <v>15154.11</v>
      </c>
      <c r="AQ88" s="149">
        <f t="shared" si="57"/>
        <v>210</v>
      </c>
      <c r="AR88" s="149">
        <f t="shared" si="58"/>
        <v>62479.290000000008</v>
      </c>
      <c r="AS88" s="133"/>
      <c r="AT88" s="132">
        <f t="shared" si="59"/>
        <v>36</v>
      </c>
      <c r="AU88" s="148">
        <f t="shared" si="25"/>
        <v>46752</v>
      </c>
      <c r="AV88" s="131">
        <f t="shared" si="60"/>
        <v>32270</v>
      </c>
      <c r="AW88" s="131">
        <f t="shared" si="26"/>
        <v>591.62</v>
      </c>
      <c r="AX88" s="131">
        <f t="shared" si="27"/>
        <v>0</v>
      </c>
      <c r="AY88" s="131">
        <f t="shared" si="28"/>
        <v>210</v>
      </c>
      <c r="AZ88" s="131">
        <f t="shared" si="29"/>
        <v>32060</v>
      </c>
      <c r="BA88" s="131">
        <f t="shared" si="61"/>
        <v>12850</v>
      </c>
      <c r="BB88" s="131">
        <f t="shared" si="30"/>
        <v>203.46</v>
      </c>
      <c r="BC88" s="131">
        <f t="shared" si="31"/>
        <v>0</v>
      </c>
      <c r="BD88" s="131">
        <f t="shared" si="32"/>
        <v>0</v>
      </c>
      <c r="BE88" s="131">
        <f t="shared" si="33"/>
        <v>12850</v>
      </c>
      <c r="BF88" s="131">
        <f t="shared" si="62"/>
        <v>0</v>
      </c>
      <c r="BG88" s="131">
        <f t="shared" si="34"/>
        <v>0</v>
      </c>
      <c r="BH88" s="131">
        <f t="shared" si="35"/>
        <v>0</v>
      </c>
      <c r="BI88" s="131">
        <f t="shared" si="36"/>
        <v>0</v>
      </c>
      <c r="BJ88" s="131">
        <f t="shared" si="37"/>
        <v>0</v>
      </c>
      <c r="BK88" s="131">
        <f t="shared" si="63"/>
        <v>115000</v>
      </c>
      <c r="BL88" s="131">
        <f t="shared" si="38"/>
        <v>575</v>
      </c>
      <c r="BM88" s="131">
        <f t="shared" si="39"/>
        <v>0</v>
      </c>
      <c r="BN88" s="131">
        <f t="shared" si="40"/>
        <v>0</v>
      </c>
      <c r="BO88" s="131">
        <f t="shared" si="41"/>
        <v>115000</v>
      </c>
      <c r="BP88" s="131">
        <f t="shared" si="64"/>
        <v>12000</v>
      </c>
      <c r="BQ88" s="131">
        <f t="shared" si="42"/>
        <v>50</v>
      </c>
      <c r="BR88" s="131">
        <f t="shared" si="43"/>
        <v>0</v>
      </c>
      <c r="BS88" s="131">
        <f t="shared" si="44"/>
        <v>0</v>
      </c>
      <c r="BT88" s="131">
        <f t="shared" si="45"/>
        <v>12000</v>
      </c>
      <c r="BU88" s="131">
        <f t="shared" si="65"/>
        <v>15339.58</v>
      </c>
      <c r="BV88" s="131">
        <f t="shared" si="46"/>
        <v>204.53</v>
      </c>
      <c r="BW88" s="131">
        <f t="shared" si="47"/>
        <v>185.47</v>
      </c>
      <c r="BX88" s="131">
        <f t="shared" si="48"/>
        <v>0</v>
      </c>
      <c r="BY88" s="131">
        <f t="shared" si="49"/>
        <v>15154.11</v>
      </c>
      <c r="BZ88" s="147">
        <f t="shared" si="66"/>
        <v>210</v>
      </c>
      <c r="CA88" s="147">
        <f t="shared" si="67"/>
        <v>62209.89</v>
      </c>
    </row>
    <row r="89" spans="11:79">
      <c r="K89" s="152">
        <f t="shared" si="50"/>
        <v>37</v>
      </c>
      <c r="L89" s="151">
        <f t="shared" si="0"/>
        <v>46783</v>
      </c>
      <c r="M89" s="150">
        <f t="shared" si="51"/>
        <v>35000</v>
      </c>
      <c r="N89" s="150">
        <f t="shared" si="1"/>
        <v>641.66999999999996</v>
      </c>
      <c r="O89" s="150">
        <f t="shared" si="2"/>
        <v>0</v>
      </c>
      <c r="P89" s="150">
        <f t="shared" si="3"/>
        <v>0</v>
      </c>
      <c r="Q89" s="150">
        <f t="shared" si="4"/>
        <v>35000</v>
      </c>
      <c r="R89" s="150">
        <f t="shared" si="52"/>
        <v>12850</v>
      </c>
      <c r="S89" s="150">
        <f t="shared" si="5"/>
        <v>203.46</v>
      </c>
      <c r="T89" s="150">
        <f t="shared" si="6"/>
        <v>0</v>
      </c>
      <c r="U89" s="150">
        <f t="shared" si="7"/>
        <v>0</v>
      </c>
      <c r="V89" s="150">
        <f t="shared" si="8"/>
        <v>12850</v>
      </c>
      <c r="W89" s="150">
        <f t="shared" si="53"/>
        <v>0</v>
      </c>
      <c r="X89" s="150">
        <f t="shared" si="9"/>
        <v>0</v>
      </c>
      <c r="Y89" s="150">
        <f t="shared" si="10"/>
        <v>0</v>
      </c>
      <c r="Z89" s="150">
        <f t="shared" si="11"/>
        <v>0</v>
      </c>
      <c r="AA89" s="150">
        <f t="shared" si="12"/>
        <v>0</v>
      </c>
      <c r="AB89" s="150">
        <f t="shared" si="54"/>
        <v>115000</v>
      </c>
      <c r="AC89" s="150">
        <f t="shared" si="13"/>
        <v>575</v>
      </c>
      <c r="AD89" s="150">
        <f t="shared" si="14"/>
        <v>0</v>
      </c>
      <c r="AE89" s="150">
        <f t="shared" si="15"/>
        <v>0</v>
      </c>
      <c r="AF89" s="150">
        <f t="shared" si="16"/>
        <v>115000</v>
      </c>
      <c r="AG89" s="150">
        <f t="shared" si="55"/>
        <v>8979.0499999999993</v>
      </c>
      <c r="AH89" s="150">
        <f t="shared" si="17"/>
        <v>37.409999999999997</v>
      </c>
      <c r="AI89" s="150">
        <f t="shared" si="18"/>
        <v>12.590000000000003</v>
      </c>
      <c r="AJ89" s="150">
        <f t="shared" si="19"/>
        <v>210</v>
      </c>
      <c r="AK89" s="150">
        <f t="shared" si="20"/>
        <v>8756.4599999999991</v>
      </c>
      <c r="AL89" s="150">
        <f t="shared" si="56"/>
        <v>15154.11</v>
      </c>
      <c r="AM89" s="150">
        <f t="shared" si="21"/>
        <v>202.05</v>
      </c>
      <c r="AN89" s="150">
        <f t="shared" si="22"/>
        <v>187.95</v>
      </c>
      <c r="AO89" s="150">
        <f t="shared" si="23"/>
        <v>0</v>
      </c>
      <c r="AP89" s="150">
        <f t="shared" si="24"/>
        <v>14966.16</v>
      </c>
      <c r="AQ89" s="149">
        <f t="shared" si="57"/>
        <v>210</v>
      </c>
      <c r="AR89" s="149">
        <f t="shared" si="58"/>
        <v>64138.880000000005</v>
      </c>
      <c r="AS89" s="133"/>
      <c r="AT89" s="152">
        <f t="shared" si="59"/>
        <v>37</v>
      </c>
      <c r="AU89" s="151">
        <f t="shared" si="25"/>
        <v>46783</v>
      </c>
      <c r="AV89" s="150">
        <f t="shared" si="60"/>
        <v>32060</v>
      </c>
      <c r="AW89" s="150">
        <f t="shared" si="26"/>
        <v>587.77</v>
      </c>
      <c r="AX89" s="150">
        <f t="shared" si="27"/>
        <v>0</v>
      </c>
      <c r="AY89" s="150">
        <f t="shared" si="28"/>
        <v>210</v>
      </c>
      <c r="AZ89" s="150">
        <f t="shared" si="29"/>
        <v>31850</v>
      </c>
      <c r="BA89" s="150">
        <f t="shared" si="61"/>
        <v>12850</v>
      </c>
      <c r="BB89" s="150">
        <f t="shared" si="30"/>
        <v>203.46</v>
      </c>
      <c r="BC89" s="150">
        <f t="shared" si="31"/>
        <v>0</v>
      </c>
      <c r="BD89" s="150">
        <f t="shared" si="32"/>
        <v>0</v>
      </c>
      <c r="BE89" s="150">
        <f t="shared" si="33"/>
        <v>12850</v>
      </c>
      <c r="BF89" s="150">
        <f t="shared" si="62"/>
        <v>0</v>
      </c>
      <c r="BG89" s="150">
        <f t="shared" si="34"/>
        <v>0</v>
      </c>
      <c r="BH89" s="150">
        <f t="shared" si="35"/>
        <v>0</v>
      </c>
      <c r="BI89" s="150">
        <f t="shared" si="36"/>
        <v>0</v>
      </c>
      <c r="BJ89" s="150">
        <f t="shared" si="37"/>
        <v>0</v>
      </c>
      <c r="BK89" s="150">
        <f t="shared" si="63"/>
        <v>115000</v>
      </c>
      <c r="BL89" s="150">
        <f t="shared" si="38"/>
        <v>575</v>
      </c>
      <c r="BM89" s="150">
        <f t="shared" si="39"/>
        <v>0</v>
      </c>
      <c r="BN89" s="150">
        <f t="shared" si="40"/>
        <v>0</v>
      </c>
      <c r="BO89" s="150">
        <f t="shared" si="41"/>
        <v>115000</v>
      </c>
      <c r="BP89" s="150">
        <f t="shared" si="64"/>
        <v>12000</v>
      </c>
      <c r="BQ89" s="150">
        <f t="shared" si="42"/>
        <v>50</v>
      </c>
      <c r="BR89" s="150">
        <f t="shared" si="43"/>
        <v>0</v>
      </c>
      <c r="BS89" s="150">
        <f t="shared" si="44"/>
        <v>0</v>
      </c>
      <c r="BT89" s="150">
        <f t="shared" si="45"/>
        <v>12000</v>
      </c>
      <c r="BU89" s="150">
        <f t="shared" si="65"/>
        <v>15154.11</v>
      </c>
      <c r="BV89" s="150">
        <f t="shared" si="46"/>
        <v>202.05</v>
      </c>
      <c r="BW89" s="150">
        <f t="shared" si="47"/>
        <v>187.95</v>
      </c>
      <c r="BX89" s="150">
        <f t="shared" si="48"/>
        <v>0</v>
      </c>
      <c r="BY89" s="150">
        <f t="shared" si="49"/>
        <v>14966.16</v>
      </c>
      <c r="BZ89" s="147">
        <f t="shared" si="66"/>
        <v>210</v>
      </c>
      <c r="CA89" s="147">
        <f t="shared" si="67"/>
        <v>63828.17</v>
      </c>
    </row>
    <row r="90" spans="11:79">
      <c r="K90" s="132">
        <f t="shared" si="50"/>
        <v>38</v>
      </c>
      <c r="L90" s="148">
        <f t="shared" si="0"/>
        <v>46812</v>
      </c>
      <c r="M90" s="131">
        <f t="shared" si="51"/>
        <v>35000</v>
      </c>
      <c r="N90" s="131">
        <f t="shared" si="1"/>
        <v>641.66999999999996</v>
      </c>
      <c r="O90" s="131">
        <f t="shared" si="2"/>
        <v>0</v>
      </c>
      <c r="P90" s="131">
        <f t="shared" si="3"/>
        <v>0</v>
      </c>
      <c r="Q90" s="131">
        <f t="shared" si="4"/>
        <v>35000</v>
      </c>
      <c r="R90" s="131">
        <f t="shared" si="52"/>
        <v>12850</v>
      </c>
      <c r="S90" s="131">
        <f t="shared" si="5"/>
        <v>203.46</v>
      </c>
      <c r="T90" s="131">
        <f t="shared" si="6"/>
        <v>0</v>
      </c>
      <c r="U90" s="131">
        <f t="shared" si="7"/>
        <v>0</v>
      </c>
      <c r="V90" s="131">
        <f t="shared" si="8"/>
        <v>12850</v>
      </c>
      <c r="W90" s="131">
        <f t="shared" si="53"/>
        <v>0</v>
      </c>
      <c r="X90" s="131">
        <f t="shared" si="9"/>
        <v>0</v>
      </c>
      <c r="Y90" s="131">
        <f t="shared" si="10"/>
        <v>0</v>
      </c>
      <c r="Z90" s="131">
        <f t="shared" si="11"/>
        <v>0</v>
      </c>
      <c r="AA90" s="131">
        <f t="shared" si="12"/>
        <v>0</v>
      </c>
      <c r="AB90" s="131">
        <f t="shared" si="54"/>
        <v>115000</v>
      </c>
      <c r="AC90" s="131">
        <f t="shared" si="13"/>
        <v>575</v>
      </c>
      <c r="AD90" s="131">
        <f t="shared" si="14"/>
        <v>0</v>
      </c>
      <c r="AE90" s="131">
        <f t="shared" si="15"/>
        <v>0</v>
      </c>
      <c r="AF90" s="131">
        <f t="shared" si="16"/>
        <v>115000</v>
      </c>
      <c r="AG90" s="131">
        <f t="shared" si="55"/>
        <v>8756.4599999999991</v>
      </c>
      <c r="AH90" s="131">
        <f t="shared" si="17"/>
        <v>36.49</v>
      </c>
      <c r="AI90" s="131">
        <f t="shared" si="18"/>
        <v>13.509999999999998</v>
      </c>
      <c r="AJ90" s="131">
        <f t="shared" si="19"/>
        <v>210</v>
      </c>
      <c r="AK90" s="131">
        <f t="shared" si="20"/>
        <v>8532.9500000000007</v>
      </c>
      <c r="AL90" s="131">
        <f t="shared" si="56"/>
        <v>14966.16</v>
      </c>
      <c r="AM90" s="131">
        <f t="shared" si="21"/>
        <v>199.55</v>
      </c>
      <c r="AN90" s="131">
        <f t="shared" si="22"/>
        <v>190.45</v>
      </c>
      <c r="AO90" s="131">
        <f t="shared" si="23"/>
        <v>0</v>
      </c>
      <c r="AP90" s="131">
        <f t="shared" si="24"/>
        <v>14775.71</v>
      </c>
      <c r="AQ90" s="149">
        <f t="shared" si="57"/>
        <v>210</v>
      </c>
      <c r="AR90" s="149">
        <f t="shared" si="58"/>
        <v>65795.05</v>
      </c>
      <c r="AS90" s="133"/>
      <c r="AT90" s="132">
        <f t="shared" si="59"/>
        <v>38</v>
      </c>
      <c r="AU90" s="148">
        <f t="shared" si="25"/>
        <v>46812</v>
      </c>
      <c r="AV90" s="131">
        <f t="shared" si="60"/>
        <v>31850</v>
      </c>
      <c r="AW90" s="131">
        <f t="shared" si="26"/>
        <v>583.91999999999996</v>
      </c>
      <c r="AX90" s="131">
        <f t="shared" si="27"/>
        <v>0</v>
      </c>
      <c r="AY90" s="131">
        <f t="shared" si="28"/>
        <v>210</v>
      </c>
      <c r="AZ90" s="131">
        <f t="shared" si="29"/>
        <v>31640</v>
      </c>
      <c r="BA90" s="131">
        <f t="shared" si="61"/>
        <v>12850</v>
      </c>
      <c r="BB90" s="131">
        <f t="shared" si="30"/>
        <v>203.46</v>
      </c>
      <c r="BC90" s="131">
        <f t="shared" si="31"/>
        <v>0</v>
      </c>
      <c r="BD90" s="131">
        <f t="shared" si="32"/>
        <v>0</v>
      </c>
      <c r="BE90" s="131">
        <f t="shared" si="33"/>
        <v>12850</v>
      </c>
      <c r="BF90" s="131">
        <f t="shared" si="62"/>
        <v>0</v>
      </c>
      <c r="BG90" s="131">
        <f t="shared" si="34"/>
        <v>0</v>
      </c>
      <c r="BH90" s="131">
        <f t="shared" si="35"/>
        <v>0</v>
      </c>
      <c r="BI90" s="131">
        <f t="shared" si="36"/>
        <v>0</v>
      </c>
      <c r="BJ90" s="131">
        <f t="shared" si="37"/>
        <v>0</v>
      </c>
      <c r="BK90" s="131">
        <f t="shared" si="63"/>
        <v>115000</v>
      </c>
      <c r="BL90" s="131">
        <f t="shared" si="38"/>
        <v>575</v>
      </c>
      <c r="BM90" s="131">
        <f t="shared" si="39"/>
        <v>0</v>
      </c>
      <c r="BN90" s="131">
        <f t="shared" si="40"/>
        <v>0</v>
      </c>
      <c r="BO90" s="131">
        <f t="shared" si="41"/>
        <v>115000</v>
      </c>
      <c r="BP90" s="131">
        <f t="shared" si="64"/>
        <v>12000</v>
      </c>
      <c r="BQ90" s="131">
        <f t="shared" si="42"/>
        <v>50</v>
      </c>
      <c r="BR90" s="131">
        <f t="shared" si="43"/>
        <v>0</v>
      </c>
      <c r="BS90" s="131">
        <f t="shared" si="44"/>
        <v>0</v>
      </c>
      <c r="BT90" s="131">
        <f t="shared" si="45"/>
        <v>12000</v>
      </c>
      <c r="BU90" s="131">
        <f t="shared" si="65"/>
        <v>14966.16</v>
      </c>
      <c r="BV90" s="131">
        <f t="shared" si="46"/>
        <v>199.55</v>
      </c>
      <c r="BW90" s="131">
        <f t="shared" si="47"/>
        <v>190.45</v>
      </c>
      <c r="BX90" s="131">
        <f t="shared" si="48"/>
        <v>0</v>
      </c>
      <c r="BY90" s="131">
        <f t="shared" si="49"/>
        <v>14775.71</v>
      </c>
      <c r="BZ90" s="147">
        <f t="shared" si="66"/>
        <v>210</v>
      </c>
      <c r="CA90" s="147">
        <f t="shared" si="67"/>
        <v>65440.1</v>
      </c>
    </row>
    <row r="91" spans="11:79">
      <c r="K91" s="152">
        <f t="shared" si="50"/>
        <v>39</v>
      </c>
      <c r="L91" s="151">
        <f t="shared" si="0"/>
        <v>46843</v>
      </c>
      <c r="M91" s="150">
        <f t="shared" si="51"/>
        <v>35000</v>
      </c>
      <c r="N91" s="150">
        <f t="shared" si="1"/>
        <v>641.66999999999996</v>
      </c>
      <c r="O91" s="150">
        <f t="shared" si="2"/>
        <v>0</v>
      </c>
      <c r="P91" s="150">
        <f t="shared" si="3"/>
        <v>0</v>
      </c>
      <c r="Q91" s="150">
        <f t="shared" si="4"/>
        <v>35000</v>
      </c>
      <c r="R91" s="150">
        <f t="shared" si="52"/>
        <v>12850</v>
      </c>
      <c r="S91" s="150">
        <f t="shared" si="5"/>
        <v>203.46</v>
      </c>
      <c r="T91" s="150">
        <f t="shared" si="6"/>
        <v>0</v>
      </c>
      <c r="U91" s="150">
        <f t="shared" si="7"/>
        <v>0</v>
      </c>
      <c r="V91" s="150">
        <f t="shared" si="8"/>
        <v>12850</v>
      </c>
      <c r="W91" s="150">
        <f t="shared" si="53"/>
        <v>0</v>
      </c>
      <c r="X91" s="150">
        <f t="shared" si="9"/>
        <v>0</v>
      </c>
      <c r="Y91" s="150">
        <f t="shared" si="10"/>
        <v>0</v>
      </c>
      <c r="Z91" s="150">
        <f t="shared" si="11"/>
        <v>0</v>
      </c>
      <c r="AA91" s="150">
        <f t="shared" si="12"/>
        <v>0</v>
      </c>
      <c r="AB91" s="150">
        <f t="shared" si="54"/>
        <v>115000</v>
      </c>
      <c r="AC91" s="150">
        <f t="shared" si="13"/>
        <v>575</v>
      </c>
      <c r="AD91" s="150">
        <f t="shared" si="14"/>
        <v>0</v>
      </c>
      <c r="AE91" s="150">
        <f t="shared" si="15"/>
        <v>0</v>
      </c>
      <c r="AF91" s="150">
        <f t="shared" si="16"/>
        <v>115000</v>
      </c>
      <c r="AG91" s="150">
        <f t="shared" si="55"/>
        <v>8532.9500000000007</v>
      </c>
      <c r="AH91" s="150">
        <f t="shared" si="17"/>
        <v>35.549999999999997</v>
      </c>
      <c r="AI91" s="150">
        <f t="shared" si="18"/>
        <v>14.450000000000003</v>
      </c>
      <c r="AJ91" s="150">
        <f t="shared" si="19"/>
        <v>210</v>
      </c>
      <c r="AK91" s="150">
        <f t="shared" si="20"/>
        <v>8308.5</v>
      </c>
      <c r="AL91" s="150">
        <f t="shared" si="56"/>
        <v>14775.71</v>
      </c>
      <c r="AM91" s="150">
        <f t="shared" si="21"/>
        <v>197.01</v>
      </c>
      <c r="AN91" s="150">
        <f t="shared" si="22"/>
        <v>192.99</v>
      </c>
      <c r="AO91" s="150">
        <f t="shared" si="23"/>
        <v>0</v>
      </c>
      <c r="AP91" s="150">
        <f t="shared" si="24"/>
        <v>14582.72</v>
      </c>
      <c r="AQ91" s="149">
        <f t="shared" si="57"/>
        <v>210</v>
      </c>
      <c r="AR91" s="149">
        <f t="shared" si="58"/>
        <v>67447.740000000005</v>
      </c>
      <c r="AS91" s="133"/>
      <c r="AT91" s="152">
        <f t="shared" si="59"/>
        <v>39</v>
      </c>
      <c r="AU91" s="151">
        <f t="shared" si="25"/>
        <v>46843</v>
      </c>
      <c r="AV91" s="150">
        <f t="shared" si="60"/>
        <v>31640</v>
      </c>
      <c r="AW91" s="150">
        <f t="shared" si="26"/>
        <v>580.07000000000005</v>
      </c>
      <c r="AX91" s="150">
        <f t="shared" si="27"/>
        <v>0</v>
      </c>
      <c r="AY91" s="150">
        <f t="shared" si="28"/>
        <v>210</v>
      </c>
      <c r="AZ91" s="150">
        <f t="shared" si="29"/>
        <v>31430</v>
      </c>
      <c r="BA91" s="150">
        <f t="shared" si="61"/>
        <v>12850</v>
      </c>
      <c r="BB91" s="150">
        <f t="shared" si="30"/>
        <v>203.46</v>
      </c>
      <c r="BC91" s="150">
        <f t="shared" si="31"/>
        <v>0</v>
      </c>
      <c r="BD91" s="150">
        <f t="shared" si="32"/>
        <v>0</v>
      </c>
      <c r="BE91" s="150">
        <f t="shared" si="33"/>
        <v>12850</v>
      </c>
      <c r="BF91" s="150">
        <f t="shared" si="62"/>
        <v>0</v>
      </c>
      <c r="BG91" s="150">
        <f t="shared" si="34"/>
        <v>0</v>
      </c>
      <c r="BH91" s="150">
        <f t="shared" si="35"/>
        <v>0</v>
      </c>
      <c r="BI91" s="150">
        <f t="shared" si="36"/>
        <v>0</v>
      </c>
      <c r="BJ91" s="150">
        <f t="shared" si="37"/>
        <v>0</v>
      </c>
      <c r="BK91" s="150">
        <f t="shared" si="63"/>
        <v>115000</v>
      </c>
      <c r="BL91" s="150">
        <f t="shared" si="38"/>
        <v>575</v>
      </c>
      <c r="BM91" s="150">
        <f t="shared" si="39"/>
        <v>0</v>
      </c>
      <c r="BN91" s="150">
        <f t="shared" si="40"/>
        <v>0</v>
      </c>
      <c r="BO91" s="150">
        <f t="shared" si="41"/>
        <v>115000</v>
      </c>
      <c r="BP91" s="150">
        <f t="shared" si="64"/>
        <v>12000</v>
      </c>
      <c r="BQ91" s="150">
        <f t="shared" si="42"/>
        <v>50</v>
      </c>
      <c r="BR91" s="150">
        <f t="shared" si="43"/>
        <v>0</v>
      </c>
      <c r="BS91" s="150">
        <f t="shared" si="44"/>
        <v>0</v>
      </c>
      <c r="BT91" s="150">
        <f t="shared" si="45"/>
        <v>12000</v>
      </c>
      <c r="BU91" s="150">
        <f t="shared" si="65"/>
        <v>14775.71</v>
      </c>
      <c r="BV91" s="150">
        <f t="shared" si="46"/>
        <v>197.01</v>
      </c>
      <c r="BW91" s="150">
        <f t="shared" si="47"/>
        <v>192.99</v>
      </c>
      <c r="BX91" s="150">
        <f t="shared" si="48"/>
        <v>0</v>
      </c>
      <c r="BY91" s="150">
        <f t="shared" si="49"/>
        <v>14582.72</v>
      </c>
      <c r="BZ91" s="147">
        <f t="shared" si="66"/>
        <v>210</v>
      </c>
      <c r="CA91" s="147">
        <f t="shared" si="67"/>
        <v>67045.64</v>
      </c>
    </row>
    <row r="92" spans="11:79">
      <c r="K92" s="132">
        <f t="shared" si="50"/>
        <v>40</v>
      </c>
      <c r="L92" s="148">
        <f t="shared" si="0"/>
        <v>46873</v>
      </c>
      <c r="M92" s="131">
        <f t="shared" si="51"/>
        <v>35000</v>
      </c>
      <c r="N92" s="131">
        <f t="shared" si="1"/>
        <v>641.66999999999996</v>
      </c>
      <c r="O92" s="131">
        <f t="shared" si="2"/>
        <v>0</v>
      </c>
      <c r="P92" s="131">
        <f t="shared" si="3"/>
        <v>0</v>
      </c>
      <c r="Q92" s="131">
        <f t="shared" si="4"/>
        <v>35000</v>
      </c>
      <c r="R92" s="131">
        <f t="shared" si="52"/>
        <v>12850</v>
      </c>
      <c r="S92" s="131">
        <f t="shared" si="5"/>
        <v>203.46</v>
      </c>
      <c r="T92" s="131">
        <f t="shared" si="6"/>
        <v>0</v>
      </c>
      <c r="U92" s="131">
        <f t="shared" si="7"/>
        <v>0</v>
      </c>
      <c r="V92" s="131">
        <f t="shared" si="8"/>
        <v>12850</v>
      </c>
      <c r="W92" s="131">
        <f t="shared" si="53"/>
        <v>0</v>
      </c>
      <c r="X92" s="131">
        <f t="shared" si="9"/>
        <v>0</v>
      </c>
      <c r="Y92" s="131">
        <f t="shared" si="10"/>
        <v>0</v>
      </c>
      <c r="Z92" s="131">
        <f t="shared" si="11"/>
        <v>0</v>
      </c>
      <c r="AA92" s="131">
        <f t="shared" si="12"/>
        <v>0</v>
      </c>
      <c r="AB92" s="131">
        <f t="shared" si="54"/>
        <v>115000</v>
      </c>
      <c r="AC92" s="131">
        <f t="shared" si="13"/>
        <v>575</v>
      </c>
      <c r="AD92" s="131">
        <f t="shared" si="14"/>
        <v>0</v>
      </c>
      <c r="AE92" s="131">
        <f t="shared" si="15"/>
        <v>0</v>
      </c>
      <c r="AF92" s="131">
        <f t="shared" si="16"/>
        <v>115000</v>
      </c>
      <c r="AG92" s="131">
        <f t="shared" si="55"/>
        <v>8308.5</v>
      </c>
      <c r="AH92" s="131">
        <f t="shared" si="17"/>
        <v>34.619999999999997</v>
      </c>
      <c r="AI92" s="131">
        <f t="shared" si="18"/>
        <v>15.380000000000003</v>
      </c>
      <c r="AJ92" s="131">
        <f t="shared" si="19"/>
        <v>210</v>
      </c>
      <c r="AK92" s="131">
        <f t="shared" si="20"/>
        <v>8083.12</v>
      </c>
      <c r="AL92" s="131">
        <f t="shared" si="56"/>
        <v>14582.72</v>
      </c>
      <c r="AM92" s="131">
        <f t="shared" si="21"/>
        <v>194.44</v>
      </c>
      <c r="AN92" s="131">
        <f t="shared" si="22"/>
        <v>195.56</v>
      </c>
      <c r="AO92" s="131">
        <f t="shared" si="23"/>
        <v>0</v>
      </c>
      <c r="AP92" s="131">
        <f t="shared" si="24"/>
        <v>14387.16</v>
      </c>
      <c r="AQ92" s="149">
        <f t="shared" si="57"/>
        <v>210</v>
      </c>
      <c r="AR92" s="149">
        <f t="shared" si="58"/>
        <v>69096.930000000008</v>
      </c>
      <c r="AS92" s="133"/>
      <c r="AT92" s="132">
        <f t="shared" si="59"/>
        <v>40</v>
      </c>
      <c r="AU92" s="148">
        <f t="shared" si="25"/>
        <v>46873</v>
      </c>
      <c r="AV92" s="131">
        <f t="shared" si="60"/>
        <v>31430</v>
      </c>
      <c r="AW92" s="131">
        <f t="shared" si="26"/>
        <v>576.22</v>
      </c>
      <c r="AX92" s="131">
        <f t="shared" si="27"/>
        <v>0</v>
      </c>
      <c r="AY92" s="131">
        <f t="shared" si="28"/>
        <v>210</v>
      </c>
      <c r="AZ92" s="131">
        <f t="shared" si="29"/>
        <v>31220</v>
      </c>
      <c r="BA92" s="131">
        <f t="shared" si="61"/>
        <v>12850</v>
      </c>
      <c r="BB92" s="131">
        <f t="shared" si="30"/>
        <v>203.46</v>
      </c>
      <c r="BC92" s="131">
        <f t="shared" si="31"/>
        <v>0</v>
      </c>
      <c r="BD92" s="131">
        <f t="shared" si="32"/>
        <v>0</v>
      </c>
      <c r="BE92" s="131">
        <f t="shared" si="33"/>
        <v>12850</v>
      </c>
      <c r="BF92" s="131">
        <f t="shared" si="62"/>
        <v>0</v>
      </c>
      <c r="BG92" s="131">
        <f t="shared" si="34"/>
        <v>0</v>
      </c>
      <c r="BH92" s="131">
        <f t="shared" si="35"/>
        <v>0</v>
      </c>
      <c r="BI92" s="131">
        <f t="shared" si="36"/>
        <v>0</v>
      </c>
      <c r="BJ92" s="131">
        <f t="shared" si="37"/>
        <v>0</v>
      </c>
      <c r="BK92" s="131">
        <f t="shared" si="63"/>
        <v>115000</v>
      </c>
      <c r="BL92" s="131">
        <f t="shared" si="38"/>
        <v>575</v>
      </c>
      <c r="BM92" s="131">
        <f t="shared" si="39"/>
        <v>0</v>
      </c>
      <c r="BN92" s="131">
        <f t="shared" si="40"/>
        <v>0</v>
      </c>
      <c r="BO92" s="131">
        <f t="shared" si="41"/>
        <v>115000</v>
      </c>
      <c r="BP92" s="131">
        <f t="shared" si="64"/>
        <v>12000</v>
      </c>
      <c r="BQ92" s="131">
        <f t="shared" si="42"/>
        <v>50</v>
      </c>
      <c r="BR92" s="131">
        <f t="shared" si="43"/>
        <v>0</v>
      </c>
      <c r="BS92" s="131">
        <f t="shared" si="44"/>
        <v>0</v>
      </c>
      <c r="BT92" s="131">
        <f t="shared" si="45"/>
        <v>12000</v>
      </c>
      <c r="BU92" s="131">
        <f t="shared" si="65"/>
        <v>14582.72</v>
      </c>
      <c r="BV92" s="131">
        <f t="shared" si="46"/>
        <v>194.44</v>
      </c>
      <c r="BW92" s="131">
        <f t="shared" si="47"/>
        <v>195.56</v>
      </c>
      <c r="BX92" s="131">
        <f t="shared" si="48"/>
        <v>0</v>
      </c>
      <c r="BY92" s="131">
        <f t="shared" si="49"/>
        <v>14387.16</v>
      </c>
      <c r="BZ92" s="147">
        <f t="shared" si="66"/>
        <v>210</v>
      </c>
      <c r="CA92" s="147">
        <f t="shared" si="67"/>
        <v>68644.759999999995</v>
      </c>
    </row>
    <row r="93" spans="11:79">
      <c r="K93" s="152">
        <f t="shared" si="50"/>
        <v>41</v>
      </c>
      <c r="L93" s="151">
        <f t="shared" si="0"/>
        <v>46904</v>
      </c>
      <c r="M93" s="150">
        <f t="shared" si="51"/>
        <v>35000</v>
      </c>
      <c r="N93" s="150">
        <f t="shared" si="1"/>
        <v>641.66999999999996</v>
      </c>
      <c r="O93" s="150">
        <f t="shared" si="2"/>
        <v>0</v>
      </c>
      <c r="P93" s="150">
        <f t="shared" si="3"/>
        <v>0</v>
      </c>
      <c r="Q93" s="150">
        <f t="shared" si="4"/>
        <v>35000</v>
      </c>
      <c r="R93" s="150">
        <f t="shared" si="52"/>
        <v>12850</v>
      </c>
      <c r="S93" s="150">
        <f t="shared" si="5"/>
        <v>203.46</v>
      </c>
      <c r="T93" s="150">
        <f t="shared" si="6"/>
        <v>0</v>
      </c>
      <c r="U93" s="150">
        <f t="shared" si="7"/>
        <v>0</v>
      </c>
      <c r="V93" s="150">
        <f t="shared" si="8"/>
        <v>12850</v>
      </c>
      <c r="W93" s="150">
        <f t="shared" si="53"/>
        <v>0</v>
      </c>
      <c r="X93" s="150">
        <f t="shared" si="9"/>
        <v>0</v>
      </c>
      <c r="Y93" s="150">
        <f t="shared" si="10"/>
        <v>0</v>
      </c>
      <c r="Z93" s="150">
        <f t="shared" si="11"/>
        <v>0</v>
      </c>
      <c r="AA93" s="150">
        <f t="shared" si="12"/>
        <v>0</v>
      </c>
      <c r="AB93" s="150">
        <f t="shared" si="54"/>
        <v>115000</v>
      </c>
      <c r="AC93" s="150">
        <f t="shared" si="13"/>
        <v>575</v>
      </c>
      <c r="AD93" s="150">
        <f t="shared" si="14"/>
        <v>0</v>
      </c>
      <c r="AE93" s="150">
        <f t="shared" si="15"/>
        <v>0</v>
      </c>
      <c r="AF93" s="150">
        <f t="shared" si="16"/>
        <v>115000</v>
      </c>
      <c r="AG93" s="150">
        <f t="shared" si="55"/>
        <v>8083.12</v>
      </c>
      <c r="AH93" s="150">
        <f t="shared" si="17"/>
        <v>33.68</v>
      </c>
      <c r="AI93" s="150">
        <f t="shared" si="18"/>
        <v>16.32</v>
      </c>
      <c r="AJ93" s="150">
        <f t="shared" si="19"/>
        <v>210</v>
      </c>
      <c r="AK93" s="150">
        <f t="shared" si="20"/>
        <v>7856.8</v>
      </c>
      <c r="AL93" s="150">
        <f t="shared" si="56"/>
        <v>14387.16</v>
      </c>
      <c r="AM93" s="150">
        <f t="shared" si="21"/>
        <v>191.83</v>
      </c>
      <c r="AN93" s="150">
        <f t="shared" si="22"/>
        <v>198.17</v>
      </c>
      <c r="AO93" s="150">
        <f t="shared" si="23"/>
        <v>0</v>
      </c>
      <c r="AP93" s="150">
        <f t="shared" si="24"/>
        <v>14188.99</v>
      </c>
      <c r="AQ93" s="149">
        <f t="shared" si="57"/>
        <v>210</v>
      </c>
      <c r="AR93" s="149">
        <f t="shared" si="58"/>
        <v>70742.570000000007</v>
      </c>
      <c r="AS93" s="133"/>
      <c r="AT93" s="152">
        <f t="shared" si="59"/>
        <v>41</v>
      </c>
      <c r="AU93" s="151">
        <f t="shared" si="25"/>
        <v>46904</v>
      </c>
      <c r="AV93" s="150">
        <f t="shared" si="60"/>
        <v>31220</v>
      </c>
      <c r="AW93" s="150">
        <f t="shared" si="26"/>
        <v>572.37</v>
      </c>
      <c r="AX93" s="150">
        <f t="shared" si="27"/>
        <v>0</v>
      </c>
      <c r="AY93" s="150">
        <f t="shared" si="28"/>
        <v>210</v>
      </c>
      <c r="AZ93" s="150">
        <f t="shared" si="29"/>
        <v>31010</v>
      </c>
      <c r="BA93" s="150">
        <f t="shared" si="61"/>
        <v>12850</v>
      </c>
      <c r="BB93" s="150">
        <f t="shared" si="30"/>
        <v>203.46</v>
      </c>
      <c r="BC93" s="150">
        <f t="shared" si="31"/>
        <v>0</v>
      </c>
      <c r="BD93" s="150">
        <f t="shared" si="32"/>
        <v>0</v>
      </c>
      <c r="BE93" s="150">
        <f t="shared" si="33"/>
        <v>12850</v>
      </c>
      <c r="BF93" s="150">
        <f t="shared" si="62"/>
        <v>0</v>
      </c>
      <c r="BG93" s="150">
        <f t="shared" si="34"/>
        <v>0</v>
      </c>
      <c r="BH93" s="150">
        <f t="shared" si="35"/>
        <v>0</v>
      </c>
      <c r="BI93" s="150">
        <f t="shared" si="36"/>
        <v>0</v>
      </c>
      <c r="BJ93" s="150">
        <f t="shared" si="37"/>
        <v>0</v>
      </c>
      <c r="BK93" s="150">
        <f t="shared" si="63"/>
        <v>115000</v>
      </c>
      <c r="BL93" s="150">
        <f t="shared" si="38"/>
        <v>575</v>
      </c>
      <c r="BM93" s="150">
        <f t="shared" si="39"/>
        <v>0</v>
      </c>
      <c r="BN93" s="150">
        <f t="shared" si="40"/>
        <v>0</v>
      </c>
      <c r="BO93" s="150">
        <f t="shared" si="41"/>
        <v>115000</v>
      </c>
      <c r="BP93" s="150">
        <f t="shared" si="64"/>
        <v>12000</v>
      </c>
      <c r="BQ93" s="150">
        <f t="shared" si="42"/>
        <v>50</v>
      </c>
      <c r="BR93" s="150">
        <f t="shared" si="43"/>
        <v>0</v>
      </c>
      <c r="BS93" s="150">
        <f t="shared" si="44"/>
        <v>0</v>
      </c>
      <c r="BT93" s="150">
        <f t="shared" si="45"/>
        <v>12000</v>
      </c>
      <c r="BU93" s="150">
        <f t="shared" si="65"/>
        <v>14387.16</v>
      </c>
      <c r="BV93" s="150">
        <f t="shared" si="46"/>
        <v>191.83</v>
      </c>
      <c r="BW93" s="150">
        <f t="shared" si="47"/>
        <v>198.17</v>
      </c>
      <c r="BX93" s="150">
        <f t="shared" si="48"/>
        <v>0</v>
      </c>
      <c r="BY93" s="150">
        <f t="shared" si="49"/>
        <v>14188.99</v>
      </c>
      <c r="BZ93" s="147">
        <f t="shared" si="66"/>
        <v>210</v>
      </c>
      <c r="CA93" s="147">
        <f t="shared" si="67"/>
        <v>70237.42</v>
      </c>
    </row>
    <row r="94" spans="11:79">
      <c r="K94" s="132">
        <f t="shared" si="50"/>
        <v>42</v>
      </c>
      <c r="L94" s="148">
        <f t="shared" si="0"/>
        <v>46934</v>
      </c>
      <c r="M94" s="131">
        <f t="shared" si="51"/>
        <v>35000</v>
      </c>
      <c r="N94" s="131">
        <f t="shared" si="1"/>
        <v>641.66999999999996</v>
      </c>
      <c r="O94" s="131">
        <f t="shared" si="2"/>
        <v>0</v>
      </c>
      <c r="P94" s="131">
        <f t="shared" si="3"/>
        <v>0</v>
      </c>
      <c r="Q94" s="131">
        <f t="shared" si="4"/>
        <v>35000</v>
      </c>
      <c r="R94" s="131">
        <f t="shared" si="52"/>
        <v>12850</v>
      </c>
      <c r="S94" s="131">
        <f t="shared" si="5"/>
        <v>203.46</v>
      </c>
      <c r="T94" s="131">
        <f t="shared" si="6"/>
        <v>0</v>
      </c>
      <c r="U94" s="131">
        <f t="shared" si="7"/>
        <v>0</v>
      </c>
      <c r="V94" s="131">
        <f t="shared" si="8"/>
        <v>12850</v>
      </c>
      <c r="W94" s="131">
        <f t="shared" si="53"/>
        <v>0</v>
      </c>
      <c r="X94" s="131">
        <f t="shared" si="9"/>
        <v>0</v>
      </c>
      <c r="Y94" s="131">
        <f t="shared" si="10"/>
        <v>0</v>
      </c>
      <c r="Z94" s="131">
        <f t="shared" si="11"/>
        <v>0</v>
      </c>
      <c r="AA94" s="131">
        <f t="shared" si="12"/>
        <v>0</v>
      </c>
      <c r="AB94" s="131">
        <f t="shared" si="54"/>
        <v>115000</v>
      </c>
      <c r="AC94" s="131">
        <f t="shared" si="13"/>
        <v>575</v>
      </c>
      <c r="AD94" s="131">
        <f t="shared" si="14"/>
        <v>0</v>
      </c>
      <c r="AE94" s="131">
        <f t="shared" si="15"/>
        <v>0</v>
      </c>
      <c r="AF94" s="131">
        <f t="shared" si="16"/>
        <v>115000</v>
      </c>
      <c r="AG94" s="131">
        <f t="shared" si="55"/>
        <v>7856.8</v>
      </c>
      <c r="AH94" s="131">
        <f t="shared" si="17"/>
        <v>32.74</v>
      </c>
      <c r="AI94" s="131">
        <f t="shared" si="18"/>
        <v>17.259999999999998</v>
      </c>
      <c r="AJ94" s="131">
        <f t="shared" si="19"/>
        <v>210</v>
      </c>
      <c r="AK94" s="131">
        <f t="shared" si="20"/>
        <v>7629.54</v>
      </c>
      <c r="AL94" s="131">
        <f t="shared" si="56"/>
        <v>14188.99</v>
      </c>
      <c r="AM94" s="131">
        <f t="shared" si="21"/>
        <v>189.19</v>
      </c>
      <c r="AN94" s="131">
        <f t="shared" si="22"/>
        <v>200.81</v>
      </c>
      <c r="AO94" s="131">
        <f t="shared" si="23"/>
        <v>0</v>
      </c>
      <c r="AP94" s="131">
        <f t="shared" si="24"/>
        <v>13988.18</v>
      </c>
      <c r="AQ94" s="149">
        <f t="shared" si="57"/>
        <v>210</v>
      </c>
      <c r="AR94" s="149">
        <f t="shared" si="58"/>
        <v>72384.63</v>
      </c>
      <c r="AS94" s="133"/>
      <c r="AT94" s="132">
        <f t="shared" si="59"/>
        <v>42</v>
      </c>
      <c r="AU94" s="148">
        <f t="shared" si="25"/>
        <v>46934</v>
      </c>
      <c r="AV94" s="131">
        <f t="shared" si="60"/>
        <v>31010</v>
      </c>
      <c r="AW94" s="131">
        <f t="shared" si="26"/>
        <v>568.52</v>
      </c>
      <c r="AX94" s="131">
        <f t="shared" si="27"/>
        <v>0</v>
      </c>
      <c r="AY94" s="131">
        <f t="shared" si="28"/>
        <v>210</v>
      </c>
      <c r="AZ94" s="131">
        <f t="shared" si="29"/>
        <v>30800</v>
      </c>
      <c r="BA94" s="131">
        <f t="shared" si="61"/>
        <v>12850</v>
      </c>
      <c r="BB94" s="131">
        <f t="shared" si="30"/>
        <v>203.46</v>
      </c>
      <c r="BC94" s="131">
        <f t="shared" si="31"/>
        <v>0</v>
      </c>
      <c r="BD94" s="131">
        <f t="shared" si="32"/>
        <v>0</v>
      </c>
      <c r="BE94" s="131">
        <f t="shared" si="33"/>
        <v>12850</v>
      </c>
      <c r="BF94" s="131">
        <f t="shared" si="62"/>
        <v>0</v>
      </c>
      <c r="BG94" s="131">
        <f t="shared" si="34"/>
        <v>0</v>
      </c>
      <c r="BH94" s="131">
        <f t="shared" si="35"/>
        <v>0</v>
      </c>
      <c r="BI94" s="131">
        <f t="shared" si="36"/>
        <v>0</v>
      </c>
      <c r="BJ94" s="131">
        <f t="shared" si="37"/>
        <v>0</v>
      </c>
      <c r="BK94" s="131">
        <f t="shared" si="63"/>
        <v>115000</v>
      </c>
      <c r="BL94" s="131">
        <f t="shared" si="38"/>
        <v>575</v>
      </c>
      <c r="BM94" s="131">
        <f t="shared" si="39"/>
        <v>0</v>
      </c>
      <c r="BN94" s="131">
        <f t="shared" si="40"/>
        <v>0</v>
      </c>
      <c r="BO94" s="131">
        <f t="shared" si="41"/>
        <v>115000</v>
      </c>
      <c r="BP94" s="131">
        <f t="shared" si="64"/>
        <v>12000</v>
      </c>
      <c r="BQ94" s="131">
        <f t="shared" si="42"/>
        <v>50</v>
      </c>
      <c r="BR94" s="131">
        <f t="shared" si="43"/>
        <v>0</v>
      </c>
      <c r="BS94" s="131">
        <f t="shared" si="44"/>
        <v>0</v>
      </c>
      <c r="BT94" s="131">
        <f t="shared" si="45"/>
        <v>12000</v>
      </c>
      <c r="BU94" s="131">
        <f t="shared" si="65"/>
        <v>14188.99</v>
      </c>
      <c r="BV94" s="131">
        <f t="shared" si="46"/>
        <v>189.19</v>
      </c>
      <c r="BW94" s="131">
        <f t="shared" si="47"/>
        <v>200.81</v>
      </c>
      <c r="BX94" s="131">
        <f t="shared" si="48"/>
        <v>0</v>
      </c>
      <c r="BY94" s="131">
        <f t="shared" si="49"/>
        <v>13988.18</v>
      </c>
      <c r="BZ94" s="147">
        <f t="shared" si="66"/>
        <v>210</v>
      </c>
      <c r="CA94" s="147">
        <f t="shared" si="67"/>
        <v>71823.59</v>
      </c>
    </row>
    <row r="95" spans="11:79">
      <c r="K95" s="152">
        <f t="shared" si="50"/>
        <v>43</v>
      </c>
      <c r="L95" s="151">
        <f t="shared" si="0"/>
        <v>46965</v>
      </c>
      <c r="M95" s="150">
        <f t="shared" si="51"/>
        <v>35000</v>
      </c>
      <c r="N95" s="150">
        <f t="shared" si="1"/>
        <v>641.66999999999996</v>
      </c>
      <c r="O95" s="150">
        <f t="shared" si="2"/>
        <v>0</v>
      </c>
      <c r="P95" s="150">
        <f t="shared" si="3"/>
        <v>0</v>
      </c>
      <c r="Q95" s="150">
        <f t="shared" si="4"/>
        <v>35000</v>
      </c>
      <c r="R95" s="150">
        <f t="shared" si="52"/>
        <v>12850</v>
      </c>
      <c r="S95" s="150">
        <f t="shared" si="5"/>
        <v>203.46</v>
      </c>
      <c r="T95" s="150">
        <f t="shared" si="6"/>
        <v>0</v>
      </c>
      <c r="U95" s="150">
        <f t="shared" si="7"/>
        <v>0</v>
      </c>
      <c r="V95" s="150">
        <f t="shared" si="8"/>
        <v>12850</v>
      </c>
      <c r="W95" s="150">
        <f t="shared" si="53"/>
        <v>0</v>
      </c>
      <c r="X95" s="150">
        <f t="shared" si="9"/>
        <v>0</v>
      </c>
      <c r="Y95" s="150">
        <f t="shared" si="10"/>
        <v>0</v>
      </c>
      <c r="Z95" s="150">
        <f t="shared" si="11"/>
        <v>0</v>
      </c>
      <c r="AA95" s="150">
        <f t="shared" si="12"/>
        <v>0</v>
      </c>
      <c r="AB95" s="150">
        <f t="shared" si="54"/>
        <v>115000</v>
      </c>
      <c r="AC95" s="150">
        <f t="shared" si="13"/>
        <v>575</v>
      </c>
      <c r="AD95" s="150">
        <f t="shared" si="14"/>
        <v>0</v>
      </c>
      <c r="AE95" s="150">
        <f t="shared" si="15"/>
        <v>0</v>
      </c>
      <c r="AF95" s="150">
        <f t="shared" si="16"/>
        <v>115000</v>
      </c>
      <c r="AG95" s="150">
        <f t="shared" si="55"/>
        <v>7629.54</v>
      </c>
      <c r="AH95" s="150">
        <f t="shared" si="17"/>
        <v>31.79</v>
      </c>
      <c r="AI95" s="150">
        <f t="shared" si="18"/>
        <v>18.21</v>
      </c>
      <c r="AJ95" s="150">
        <f t="shared" si="19"/>
        <v>210</v>
      </c>
      <c r="AK95" s="150">
        <f t="shared" si="20"/>
        <v>7401.33</v>
      </c>
      <c r="AL95" s="150">
        <f t="shared" si="56"/>
        <v>13988.18</v>
      </c>
      <c r="AM95" s="150">
        <f t="shared" si="21"/>
        <v>186.51</v>
      </c>
      <c r="AN95" s="150">
        <f t="shared" si="22"/>
        <v>203.49</v>
      </c>
      <c r="AO95" s="150">
        <f t="shared" si="23"/>
        <v>0</v>
      </c>
      <c r="AP95" s="150">
        <f t="shared" si="24"/>
        <v>13784.69</v>
      </c>
      <c r="AQ95" s="149">
        <f t="shared" si="57"/>
        <v>210</v>
      </c>
      <c r="AR95" s="149">
        <f t="shared" si="58"/>
        <v>74023.06</v>
      </c>
      <c r="AS95" s="133"/>
      <c r="AT95" s="152">
        <f t="shared" si="59"/>
        <v>43</v>
      </c>
      <c r="AU95" s="151">
        <f t="shared" si="25"/>
        <v>46965</v>
      </c>
      <c r="AV95" s="150">
        <f t="shared" si="60"/>
        <v>30800</v>
      </c>
      <c r="AW95" s="150">
        <f t="shared" si="26"/>
        <v>564.66999999999996</v>
      </c>
      <c r="AX95" s="150">
        <f t="shared" si="27"/>
        <v>0</v>
      </c>
      <c r="AY95" s="150">
        <f t="shared" si="28"/>
        <v>210</v>
      </c>
      <c r="AZ95" s="150">
        <f t="shared" si="29"/>
        <v>30590</v>
      </c>
      <c r="BA95" s="150">
        <f t="shared" si="61"/>
        <v>12850</v>
      </c>
      <c r="BB95" s="150">
        <f t="shared" si="30"/>
        <v>203.46</v>
      </c>
      <c r="BC95" s="150">
        <f t="shared" si="31"/>
        <v>0</v>
      </c>
      <c r="BD95" s="150">
        <f t="shared" si="32"/>
        <v>0</v>
      </c>
      <c r="BE95" s="150">
        <f t="shared" si="33"/>
        <v>12850</v>
      </c>
      <c r="BF95" s="150">
        <f t="shared" si="62"/>
        <v>0</v>
      </c>
      <c r="BG95" s="150">
        <f t="shared" si="34"/>
        <v>0</v>
      </c>
      <c r="BH95" s="150">
        <f t="shared" si="35"/>
        <v>0</v>
      </c>
      <c r="BI95" s="150">
        <f t="shared" si="36"/>
        <v>0</v>
      </c>
      <c r="BJ95" s="150">
        <f t="shared" si="37"/>
        <v>0</v>
      </c>
      <c r="BK95" s="150">
        <f t="shared" si="63"/>
        <v>115000</v>
      </c>
      <c r="BL95" s="150">
        <f t="shared" si="38"/>
        <v>575</v>
      </c>
      <c r="BM95" s="150">
        <f t="shared" si="39"/>
        <v>0</v>
      </c>
      <c r="BN95" s="150">
        <f t="shared" si="40"/>
        <v>0</v>
      </c>
      <c r="BO95" s="150">
        <f t="shared" si="41"/>
        <v>115000</v>
      </c>
      <c r="BP95" s="150">
        <f t="shared" si="64"/>
        <v>12000</v>
      </c>
      <c r="BQ95" s="150">
        <f t="shared" si="42"/>
        <v>50</v>
      </c>
      <c r="BR95" s="150">
        <f t="shared" si="43"/>
        <v>0</v>
      </c>
      <c r="BS95" s="150">
        <f t="shared" si="44"/>
        <v>0</v>
      </c>
      <c r="BT95" s="150">
        <f t="shared" si="45"/>
        <v>12000</v>
      </c>
      <c r="BU95" s="150">
        <f t="shared" si="65"/>
        <v>13988.18</v>
      </c>
      <c r="BV95" s="150">
        <f t="shared" si="46"/>
        <v>186.51</v>
      </c>
      <c r="BW95" s="150">
        <f t="shared" si="47"/>
        <v>203.49</v>
      </c>
      <c r="BX95" s="150">
        <f t="shared" si="48"/>
        <v>0</v>
      </c>
      <c r="BY95" s="150">
        <f t="shared" si="49"/>
        <v>13784.69</v>
      </c>
      <c r="BZ95" s="147">
        <f t="shared" si="66"/>
        <v>210</v>
      </c>
      <c r="CA95" s="147">
        <f t="shared" si="67"/>
        <v>73403.23</v>
      </c>
    </row>
    <row r="96" spans="11:79">
      <c r="K96" s="132">
        <f t="shared" si="50"/>
        <v>44</v>
      </c>
      <c r="L96" s="148">
        <f t="shared" si="0"/>
        <v>46996</v>
      </c>
      <c r="M96" s="131">
        <f t="shared" si="51"/>
        <v>35000</v>
      </c>
      <c r="N96" s="131">
        <f t="shared" si="1"/>
        <v>641.66999999999996</v>
      </c>
      <c r="O96" s="131">
        <f t="shared" si="2"/>
        <v>0</v>
      </c>
      <c r="P96" s="131">
        <f t="shared" si="3"/>
        <v>0</v>
      </c>
      <c r="Q96" s="131">
        <f t="shared" si="4"/>
        <v>35000</v>
      </c>
      <c r="R96" s="131">
        <f t="shared" si="52"/>
        <v>12850</v>
      </c>
      <c r="S96" s="131">
        <f t="shared" si="5"/>
        <v>203.46</v>
      </c>
      <c r="T96" s="131">
        <f t="shared" si="6"/>
        <v>0</v>
      </c>
      <c r="U96" s="131">
        <f t="shared" si="7"/>
        <v>0</v>
      </c>
      <c r="V96" s="131">
        <f t="shared" si="8"/>
        <v>12850</v>
      </c>
      <c r="W96" s="131">
        <f t="shared" si="53"/>
        <v>0</v>
      </c>
      <c r="X96" s="131">
        <f t="shared" si="9"/>
        <v>0</v>
      </c>
      <c r="Y96" s="131">
        <f t="shared" si="10"/>
        <v>0</v>
      </c>
      <c r="Z96" s="131">
        <f t="shared" si="11"/>
        <v>0</v>
      </c>
      <c r="AA96" s="131">
        <f t="shared" si="12"/>
        <v>0</v>
      </c>
      <c r="AB96" s="131">
        <f t="shared" si="54"/>
        <v>115000</v>
      </c>
      <c r="AC96" s="131">
        <f t="shared" si="13"/>
        <v>575</v>
      </c>
      <c r="AD96" s="131">
        <f t="shared" si="14"/>
        <v>0</v>
      </c>
      <c r="AE96" s="131">
        <f t="shared" si="15"/>
        <v>0</v>
      </c>
      <c r="AF96" s="131">
        <f t="shared" si="16"/>
        <v>115000</v>
      </c>
      <c r="AG96" s="131">
        <f t="shared" si="55"/>
        <v>7401.33</v>
      </c>
      <c r="AH96" s="131">
        <f t="shared" si="17"/>
        <v>30.84</v>
      </c>
      <c r="AI96" s="131">
        <f t="shared" si="18"/>
        <v>19.16</v>
      </c>
      <c r="AJ96" s="131">
        <f t="shared" si="19"/>
        <v>210</v>
      </c>
      <c r="AK96" s="131">
        <f t="shared" si="20"/>
        <v>7172.17</v>
      </c>
      <c r="AL96" s="131">
        <f t="shared" si="56"/>
        <v>13784.69</v>
      </c>
      <c r="AM96" s="131">
        <f t="shared" si="21"/>
        <v>183.8</v>
      </c>
      <c r="AN96" s="131">
        <f t="shared" si="22"/>
        <v>206.2</v>
      </c>
      <c r="AO96" s="131">
        <f t="shared" si="23"/>
        <v>0</v>
      </c>
      <c r="AP96" s="131">
        <f t="shared" si="24"/>
        <v>13578.49</v>
      </c>
      <c r="AQ96" s="149">
        <f t="shared" si="57"/>
        <v>210</v>
      </c>
      <c r="AR96" s="149">
        <f t="shared" si="58"/>
        <v>75657.83</v>
      </c>
      <c r="AS96" s="133"/>
      <c r="AT96" s="132">
        <f t="shared" si="59"/>
        <v>44</v>
      </c>
      <c r="AU96" s="148">
        <f t="shared" si="25"/>
        <v>46996</v>
      </c>
      <c r="AV96" s="131">
        <f t="shared" si="60"/>
        <v>30590</v>
      </c>
      <c r="AW96" s="131">
        <f t="shared" si="26"/>
        <v>560.82000000000005</v>
      </c>
      <c r="AX96" s="131">
        <f t="shared" si="27"/>
        <v>0</v>
      </c>
      <c r="AY96" s="131">
        <f t="shared" si="28"/>
        <v>210</v>
      </c>
      <c r="AZ96" s="131">
        <f t="shared" si="29"/>
        <v>30380</v>
      </c>
      <c r="BA96" s="131">
        <f t="shared" si="61"/>
        <v>12850</v>
      </c>
      <c r="BB96" s="131">
        <f t="shared" si="30"/>
        <v>203.46</v>
      </c>
      <c r="BC96" s="131">
        <f t="shared" si="31"/>
        <v>0</v>
      </c>
      <c r="BD96" s="131">
        <f t="shared" si="32"/>
        <v>0</v>
      </c>
      <c r="BE96" s="131">
        <f t="shared" si="33"/>
        <v>12850</v>
      </c>
      <c r="BF96" s="131">
        <f t="shared" si="62"/>
        <v>0</v>
      </c>
      <c r="BG96" s="131">
        <f t="shared" si="34"/>
        <v>0</v>
      </c>
      <c r="BH96" s="131">
        <f t="shared" si="35"/>
        <v>0</v>
      </c>
      <c r="BI96" s="131">
        <f t="shared" si="36"/>
        <v>0</v>
      </c>
      <c r="BJ96" s="131">
        <f t="shared" si="37"/>
        <v>0</v>
      </c>
      <c r="BK96" s="131">
        <f t="shared" si="63"/>
        <v>115000</v>
      </c>
      <c r="BL96" s="131">
        <f t="shared" si="38"/>
        <v>575</v>
      </c>
      <c r="BM96" s="131">
        <f t="shared" si="39"/>
        <v>0</v>
      </c>
      <c r="BN96" s="131">
        <f t="shared" si="40"/>
        <v>0</v>
      </c>
      <c r="BO96" s="131">
        <f t="shared" si="41"/>
        <v>115000</v>
      </c>
      <c r="BP96" s="131">
        <f t="shared" si="64"/>
        <v>12000</v>
      </c>
      <c r="BQ96" s="131">
        <f t="shared" si="42"/>
        <v>50</v>
      </c>
      <c r="BR96" s="131">
        <f t="shared" si="43"/>
        <v>0</v>
      </c>
      <c r="BS96" s="131">
        <f t="shared" si="44"/>
        <v>0</v>
      </c>
      <c r="BT96" s="131">
        <f t="shared" si="45"/>
        <v>12000</v>
      </c>
      <c r="BU96" s="131">
        <f t="shared" si="65"/>
        <v>13784.69</v>
      </c>
      <c r="BV96" s="131">
        <f t="shared" si="46"/>
        <v>183.8</v>
      </c>
      <c r="BW96" s="131">
        <f t="shared" si="47"/>
        <v>206.2</v>
      </c>
      <c r="BX96" s="131">
        <f t="shared" si="48"/>
        <v>0</v>
      </c>
      <c r="BY96" s="131">
        <f t="shared" si="49"/>
        <v>13578.49</v>
      </c>
      <c r="BZ96" s="147">
        <f t="shared" si="66"/>
        <v>210</v>
      </c>
      <c r="CA96" s="147">
        <f t="shared" si="67"/>
        <v>74976.31</v>
      </c>
    </row>
    <row r="97" spans="11:79">
      <c r="K97" s="152">
        <f t="shared" si="50"/>
        <v>45</v>
      </c>
      <c r="L97" s="151">
        <f t="shared" si="0"/>
        <v>47026</v>
      </c>
      <c r="M97" s="150">
        <f t="shared" si="51"/>
        <v>35000</v>
      </c>
      <c r="N97" s="150">
        <f t="shared" si="1"/>
        <v>641.66999999999996</v>
      </c>
      <c r="O97" s="150">
        <f t="shared" si="2"/>
        <v>0</v>
      </c>
      <c r="P97" s="150">
        <f t="shared" si="3"/>
        <v>0</v>
      </c>
      <c r="Q97" s="150">
        <f t="shared" si="4"/>
        <v>35000</v>
      </c>
      <c r="R97" s="150">
        <f t="shared" si="52"/>
        <v>12850</v>
      </c>
      <c r="S97" s="150">
        <f t="shared" si="5"/>
        <v>203.46</v>
      </c>
      <c r="T97" s="150">
        <f t="shared" si="6"/>
        <v>0</v>
      </c>
      <c r="U97" s="150">
        <f t="shared" si="7"/>
        <v>0</v>
      </c>
      <c r="V97" s="150">
        <f t="shared" si="8"/>
        <v>12850</v>
      </c>
      <c r="W97" s="150">
        <f t="shared" si="53"/>
        <v>0</v>
      </c>
      <c r="X97" s="150">
        <f t="shared" si="9"/>
        <v>0</v>
      </c>
      <c r="Y97" s="150">
        <f t="shared" si="10"/>
        <v>0</v>
      </c>
      <c r="Z97" s="150">
        <f t="shared" si="11"/>
        <v>0</v>
      </c>
      <c r="AA97" s="150">
        <f t="shared" si="12"/>
        <v>0</v>
      </c>
      <c r="AB97" s="150">
        <f t="shared" si="54"/>
        <v>115000</v>
      </c>
      <c r="AC97" s="150">
        <f t="shared" si="13"/>
        <v>575</v>
      </c>
      <c r="AD97" s="150">
        <f t="shared" si="14"/>
        <v>0</v>
      </c>
      <c r="AE97" s="150">
        <f t="shared" si="15"/>
        <v>0</v>
      </c>
      <c r="AF97" s="150">
        <f t="shared" si="16"/>
        <v>115000</v>
      </c>
      <c r="AG97" s="150">
        <f t="shared" si="55"/>
        <v>7172.17</v>
      </c>
      <c r="AH97" s="150">
        <f t="shared" si="17"/>
        <v>29.88</v>
      </c>
      <c r="AI97" s="150">
        <f t="shared" si="18"/>
        <v>20.12</v>
      </c>
      <c r="AJ97" s="150">
        <f t="shared" si="19"/>
        <v>210</v>
      </c>
      <c r="AK97" s="150">
        <f t="shared" si="20"/>
        <v>6942.05</v>
      </c>
      <c r="AL97" s="150">
        <f t="shared" si="56"/>
        <v>13578.49</v>
      </c>
      <c r="AM97" s="150">
        <f t="shared" si="21"/>
        <v>181.05</v>
      </c>
      <c r="AN97" s="150">
        <f t="shared" si="22"/>
        <v>208.95</v>
      </c>
      <c r="AO97" s="150">
        <f t="shared" si="23"/>
        <v>0</v>
      </c>
      <c r="AP97" s="150">
        <f t="shared" si="24"/>
        <v>13369.54</v>
      </c>
      <c r="AQ97" s="149">
        <f t="shared" si="57"/>
        <v>210</v>
      </c>
      <c r="AR97" s="149">
        <f t="shared" si="58"/>
        <v>77288.89</v>
      </c>
      <c r="AS97" s="133"/>
      <c r="AT97" s="152">
        <f t="shared" si="59"/>
        <v>45</v>
      </c>
      <c r="AU97" s="151">
        <f t="shared" si="25"/>
        <v>47026</v>
      </c>
      <c r="AV97" s="150">
        <f t="shared" si="60"/>
        <v>30380</v>
      </c>
      <c r="AW97" s="150">
        <f t="shared" si="26"/>
        <v>556.97</v>
      </c>
      <c r="AX97" s="150">
        <f t="shared" si="27"/>
        <v>0</v>
      </c>
      <c r="AY97" s="150">
        <f t="shared" si="28"/>
        <v>210</v>
      </c>
      <c r="AZ97" s="150">
        <f t="shared" si="29"/>
        <v>30170</v>
      </c>
      <c r="BA97" s="150">
        <f t="shared" si="61"/>
        <v>12850</v>
      </c>
      <c r="BB97" s="150">
        <f t="shared" si="30"/>
        <v>203.46</v>
      </c>
      <c r="BC97" s="150">
        <f t="shared" si="31"/>
        <v>0</v>
      </c>
      <c r="BD97" s="150">
        <f t="shared" si="32"/>
        <v>0</v>
      </c>
      <c r="BE97" s="150">
        <f t="shared" si="33"/>
        <v>12850</v>
      </c>
      <c r="BF97" s="150">
        <f t="shared" si="62"/>
        <v>0</v>
      </c>
      <c r="BG97" s="150">
        <f t="shared" si="34"/>
        <v>0</v>
      </c>
      <c r="BH97" s="150">
        <f t="shared" si="35"/>
        <v>0</v>
      </c>
      <c r="BI97" s="150">
        <f t="shared" si="36"/>
        <v>0</v>
      </c>
      <c r="BJ97" s="150">
        <f t="shared" si="37"/>
        <v>0</v>
      </c>
      <c r="BK97" s="150">
        <f t="shared" si="63"/>
        <v>115000</v>
      </c>
      <c r="BL97" s="150">
        <f t="shared" si="38"/>
        <v>575</v>
      </c>
      <c r="BM97" s="150">
        <f t="shared" si="39"/>
        <v>0</v>
      </c>
      <c r="BN97" s="150">
        <f t="shared" si="40"/>
        <v>0</v>
      </c>
      <c r="BO97" s="150">
        <f t="shared" si="41"/>
        <v>115000</v>
      </c>
      <c r="BP97" s="150">
        <f t="shared" si="64"/>
        <v>12000</v>
      </c>
      <c r="BQ97" s="150">
        <f t="shared" si="42"/>
        <v>50</v>
      </c>
      <c r="BR97" s="150">
        <f t="shared" si="43"/>
        <v>0</v>
      </c>
      <c r="BS97" s="150">
        <f t="shared" si="44"/>
        <v>0</v>
      </c>
      <c r="BT97" s="150">
        <f t="shared" si="45"/>
        <v>12000</v>
      </c>
      <c r="BU97" s="150">
        <f t="shared" si="65"/>
        <v>13578.49</v>
      </c>
      <c r="BV97" s="150">
        <f t="shared" si="46"/>
        <v>181.05</v>
      </c>
      <c r="BW97" s="150">
        <f t="shared" si="47"/>
        <v>208.95</v>
      </c>
      <c r="BX97" s="150">
        <f t="shared" si="48"/>
        <v>0</v>
      </c>
      <c r="BY97" s="150">
        <f t="shared" si="49"/>
        <v>13369.54</v>
      </c>
      <c r="BZ97" s="147">
        <f t="shared" si="66"/>
        <v>210</v>
      </c>
      <c r="CA97" s="147">
        <f t="shared" si="67"/>
        <v>76542.789999999994</v>
      </c>
    </row>
    <row r="98" spans="11:79">
      <c r="K98" s="132">
        <f t="shared" si="50"/>
        <v>46</v>
      </c>
      <c r="L98" s="148">
        <f t="shared" si="0"/>
        <v>47057</v>
      </c>
      <c r="M98" s="131">
        <f t="shared" si="51"/>
        <v>35000</v>
      </c>
      <c r="N98" s="131">
        <f t="shared" si="1"/>
        <v>641.66999999999996</v>
      </c>
      <c r="O98" s="131">
        <f t="shared" si="2"/>
        <v>0</v>
      </c>
      <c r="P98" s="131">
        <f t="shared" si="3"/>
        <v>0</v>
      </c>
      <c r="Q98" s="131">
        <f t="shared" si="4"/>
        <v>35000</v>
      </c>
      <c r="R98" s="131">
        <f t="shared" si="52"/>
        <v>12850</v>
      </c>
      <c r="S98" s="131">
        <f t="shared" si="5"/>
        <v>203.46</v>
      </c>
      <c r="T98" s="131">
        <f t="shared" si="6"/>
        <v>0</v>
      </c>
      <c r="U98" s="131">
        <f t="shared" si="7"/>
        <v>0</v>
      </c>
      <c r="V98" s="131">
        <f t="shared" si="8"/>
        <v>12850</v>
      </c>
      <c r="W98" s="131">
        <f t="shared" si="53"/>
        <v>0</v>
      </c>
      <c r="X98" s="131">
        <f t="shared" si="9"/>
        <v>0</v>
      </c>
      <c r="Y98" s="131">
        <f t="shared" si="10"/>
        <v>0</v>
      </c>
      <c r="Z98" s="131">
        <f t="shared" si="11"/>
        <v>0</v>
      </c>
      <c r="AA98" s="131">
        <f t="shared" si="12"/>
        <v>0</v>
      </c>
      <c r="AB98" s="131">
        <f t="shared" si="54"/>
        <v>115000</v>
      </c>
      <c r="AC98" s="131">
        <f t="shared" si="13"/>
        <v>575</v>
      </c>
      <c r="AD98" s="131">
        <f t="shared" si="14"/>
        <v>0</v>
      </c>
      <c r="AE98" s="131">
        <f t="shared" si="15"/>
        <v>0</v>
      </c>
      <c r="AF98" s="131">
        <f t="shared" si="16"/>
        <v>115000</v>
      </c>
      <c r="AG98" s="131">
        <f t="shared" si="55"/>
        <v>6942.05</v>
      </c>
      <c r="AH98" s="131">
        <f t="shared" si="17"/>
        <v>28.93</v>
      </c>
      <c r="AI98" s="131">
        <f t="shared" si="18"/>
        <v>21.07</v>
      </c>
      <c r="AJ98" s="131">
        <f t="shared" si="19"/>
        <v>210</v>
      </c>
      <c r="AK98" s="131">
        <f t="shared" si="20"/>
        <v>6710.98</v>
      </c>
      <c r="AL98" s="131">
        <f t="shared" si="56"/>
        <v>13369.54</v>
      </c>
      <c r="AM98" s="131">
        <f t="shared" si="21"/>
        <v>178.26</v>
      </c>
      <c r="AN98" s="131">
        <f t="shared" si="22"/>
        <v>211.74</v>
      </c>
      <c r="AO98" s="131">
        <f t="shared" si="23"/>
        <v>0</v>
      </c>
      <c r="AP98" s="131">
        <f t="shared" si="24"/>
        <v>13157.8</v>
      </c>
      <c r="AQ98" s="149">
        <f t="shared" si="57"/>
        <v>210</v>
      </c>
      <c r="AR98" s="149">
        <f t="shared" si="58"/>
        <v>78916.210000000006</v>
      </c>
      <c r="AS98" s="133"/>
      <c r="AT98" s="132">
        <f t="shared" si="59"/>
        <v>46</v>
      </c>
      <c r="AU98" s="148">
        <f t="shared" si="25"/>
        <v>47057</v>
      </c>
      <c r="AV98" s="131">
        <f t="shared" si="60"/>
        <v>30170</v>
      </c>
      <c r="AW98" s="131">
        <f t="shared" si="26"/>
        <v>553.12</v>
      </c>
      <c r="AX98" s="131">
        <f t="shared" si="27"/>
        <v>0</v>
      </c>
      <c r="AY98" s="131">
        <f t="shared" si="28"/>
        <v>210</v>
      </c>
      <c r="AZ98" s="131">
        <f t="shared" si="29"/>
        <v>29960</v>
      </c>
      <c r="BA98" s="131">
        <f t="shared" si="61"/>
        <v>12850</v>
      </c>
      <c r="BB98" s="131">
        <f t="shared" si="30"/>
        <v>203.46</v>
      </c>
      <c r="BC98" s="131">
        <f t="shared" si="31"/>
        <v>0</v>
      </c>
      <c r="BD98" s="131">
        <f t="shared" si="32"/>
        <v>0</v>
      </c>
      <c r="BE98" s="131">
        <f t="shared" si="33"/>
        <v>12850</v>
      </c>
      <c r="BF98" s="131">
        <f t="shared" si="62"/>
        <v>0</v>
      </c>
      <c r="BG98" s="131">
        <f t="shared" si="34"/>
        <v>0</v>
      </c>
      <c r="BH98" s="131">
        <f t="shared" si="35"/>
        <v>0</v>
      </c>
      <c r="BI98" s="131">
        <f t="shared" si="36"/>
        <v>0</v>
      </c>
      <c r="BJ98" s="131">
        <f t="shared" si="37"/>
        <v>0</v>
      </c>
      <c r="BK98" s="131">
        <f t="shared" si="63"/>
        <v>115000</v>
      </c>
      <c r="BL98" s="131">
        <f t="shared" si="38"/>
        <v>575</v>
      </c>
      <c r="BM98" s="131">
        <f t="shared" si="39"/>
        <v>0</v>
      </c>
      <c r="BN98" s="131">
        <f t="shared" si="40"/>
        <v>0</v>
      </c>
      <c r="BO98" s="131">
        <f t="shared" si="41"/>
        <v>115000</v>
      </c>
      <c r="BP98" s="131">
        <f t="shared" si="64"/>
        <v>12000</v>
      </c>
      <c r="BQ98" s="131">
        <f t="shared" si="42"/>
        <v>50</v>
      </c>
      <c r="BR98" s="131">
        <f t="shared" si="43"/>
        <v>0</v>
      </c>
      <c r="BS98" s="131">
        <f t="shared" si="44"/>
        <v>0</v>
      </c>
      <c r="BT98" s="131">
        <f t="shared" si="45"/>
        <v>12000</v>
      </c>
      <c r="BU98" s="131">
        <f t="shared" si="65"/>
        <v>13369.54</v>
      </c>
      <c r="BV98" s="131">
        <f t="shared" si="46"/>
        <v>178.26</v>
      </c>
      <c r="BW98" s="131">
        <f t="shared" si="47"/>
        <v>211.74</v>
      </c>
      <c r="BX98" s="131">
        <f t="shared" si="48"/>
        <v>0</v>
      </c>
      <c r="BY98" s="131">
        <f t="shared" si="49"/>
        <v>13157.8</v>
      </c>
      <c r="BZ98" s="147">
        <f t="shared" si="66"/>
        <v>210</v>
      </c>
      <c r="CA98" s="147">
        <f t="shared" si="67"/>
        <v>78102.62999999999</v>
      </c>
    </row>
    <row r="99" spans="11:79">
      <c r="K99" s="152">
        <f t="shared" si="50"/>
        <v>47</v>
      </c>
      <c r="L99" s="151">
        <f t="shared" si="0"/>
        <v>47087</v>
      </c>
      <c r="M99" s="150">
        <f t="shared" si="51"/>
        <v>35000</v>
      </c>
      <c r="N99" s="150">
        <f t="shared" si="1"/>
        <v>641.66999999999996</v>
      </c>
      <c r="O99" s="150">
        <f t="shared" si="2"/>
        <v>0</v>
      </c>
      <c r="P99" s="150">
        <f t="shared" si="3"/>
        <v>0</v>
      </c>
      <c r="Q99" s="150">
        <f t="shared" si="4"/>
        <v>35000</v>
      </c>
      <c r="R99" s="150">
        <f t="shared" si="52"/>
        <v>12850</v>
      </c>
      <c r="S99" s="150">
        <f t="shared" si="5"/>
        <v>203.46</v>
      </c>
      <c r="T99" s="150">
        <f t="shared" si="6"/>
        <v>0</v>
      </c>
      <c r="U99" s="150">
        <f t="shared" si="7"/>
        <v>0</v>
      </c>
      <c r="V99" s="150">
        <f t="shared" si="8"/>
        <v>12850</v>
      </c>
      <c r="W99" s="150">
        <f t="shared" si="53"/>
        <v>0</v>
      </c>
      <c r="X99" s="150">
        <f t="shared" si="9"/>
        <v>0</v>
      </c>
      <c r="Y99" s="150">
        <f t="shared" si="10"/>
        <v>0</v>
      </c>
      <c r="Z99" s="150">
        <f t="shared" si="11"/>
        <v>0</v>
      </c>
      <c r="AA99" s="150">
        <f t="shared" si="12"/>
        <v>0</v>
      </c>
      <c r="AB99" s="150">
        <f t="shared" si="54"/>
        <v>115000</v>
      </c>
      <c r="AC99" s="150">
        <f t="shared" si="13"/>
        <v>575</v>
      </c>
      <c r="AD99" s="150">
        <f t="shared" si="14"/>
        <v>0</v>
      </c>
      <c r="AE99" s="150">
        <f t="shared" si="15"/>
        <v>0</v>
      </c>
      <c r="AF99" s="150">
        <f t="shared" si="16"/>
        <v>115000</v>
      </c>
      <c r="AG99" s="150">
        <f t="shared" si="55"/>
        <v>6710.98</v>
      </c>
      <c r="AH99" s="150">
        <f t="shared" si="17"/>
        <v>27.96</v>
      </c>
      <c r="AI99" s="150">
        <f t="shared" si="18"/>
        <v>22.04</v>
      </c>
      <c r="AJ99" s="150">
        <f t="shared" si="19"/>
        <v>210</v>
      </c>
      <c r="AK99" s="150">
        <f t="shared" si="20"/>
        <v>6478.94</v>
      </c>
      <c r="AL99" s="150">
        <f t="shared" si="56"/>
        <v>13157.8</v>
      </c>
      <c r="AM99" s="150">
        <f t="shared" si="21"/>
        <v>175.44</v>
      </c>
      <c r="AN99" s="150">
        <f t="shared" si="22"/>
        <v>214.56</v>
      </c>
      <c r="AO99" s="150">
        <f t="shared" si="23"/>
        <v>0</v>
      </c>
      <c r="AP99" s="150">
        <f t="shared" si="24"/>
        <v>12943.24</v>
      </c>
      <c r="AQ99" s="149">
        <f t="shared" si="57"/>
        <v>210</v>
      </c>
      <c r="AR99" s="149">
        <f t="shared" si="58"/>
        <v>80539.740000000005</v>
      </c>
      <c r="AS99" s="133"/>
      <c r="AT99" s="152">
        <f t="shared" si="59"/>
        <v>47</v>
      </c>
      <c r="AU99" s="151">
        <f t="shared" si="25"/>
        <v>47087</v>
      </c>
      <c r="AV99" s="150">
        <f t="shared" si="60"/>
        <v>29960</v>
      </c>
      <c r="AW99" s="150">
        <f t="shared" si="26"/>
        <v>549.27</v>
      </c>
      <c r="AX99" s="150">
        <f t="shared" si="27"/>
        <v>0</v>
      </c>
      <c r="AY99" s="150">
        <f t="shared" si="28"/>
        <v>210</v>
      </c>
      <c r="AZ99" s="150">
        <f t="shared" si="29"/>
        <v>29750</v>
      </c>
      <c r="BA99" s="150">
        <f t="shared" si="61"/>
        <v>12850</v>
      </c>
      <c r="BB99" s="150">
        <f t="shared" si="30"/>
        <v>203.46</v>
      </c>
      <c r="BC99" s="150">
        <f t="shared" si="31"/>
        <v>0</v>
      </c>
      <c r="BD99" s="150">
        <f t="shared" si="32"/>
        <v>0</v>
      </c>
      <c r="BE99" s="150">
        <f t="shared" si="33"/>
        <v>12850</v>
      </c>
      <c r="BF99" s="150">
        <f t="shared" si="62"/>
        <v>0</v>
      </c>
      <c r="BG99" s="150">
        <f t="shared" si="34"/>
        <v>0</v>
      </c>
      <c r="BH99" s="150">
        <f t="shared" si="35"/>
        <v>0</v>
      </c>
      <c r="BI99" s="150">
        <f t="shared" si="36"/>
        <v>0</v>
      </c>
      <c r="BJ99" s="150">
        <f t="shared" si="37"/>
        <v>0</v>
      </c>
      <c r="BK99" s="150">
        <f t="shared" si="63"/>
        <v>115000</v>
      </c>
      <c r="BL99" s="150">
        <f t="shared" si="38"/>
        <v>575</v>
      </c>
      <c r="BM99" s="150">
        <f t="shared" si="39"/>
        <v>0</v>
      </c>
      <c r="BN99" s="150">
        <f t="shared" si="40"/>
        <v>0</v>
      </c>
      <c r="BO99" s="150">
        <f t="shared" si="41"/>
        <v>115000</v>
      </c>
      <c r="BP99" s="150">
        <f t="shared" si="64"/>
        <v>12000</v>
      </c>
      <c r="BQ99" s="150">
        <f t="shared" si="42"/>
        <v>50</v>
      </c>
      <c r="BR99" s="150">
        <f t="shared" si="43"/>
        <v>0</v>
      </c>
      <c r="BS99" s="150">
        <f t="shared" si="44"/>
        <v>0</v>
      </c>
      <c r="BT99" s="150">
        <f t="shared" si="45"/>
        <v>12000</v>
      </c>
      <c r="BU99" s="150">
        <f t="shared" si="65"/>
        <v>13157.8</v>
      </c>
      <c r="BV99" s="150">
        <f t="shared" si="46"/>
        <v>175.44</v>
      </c>
      <c r="BW99" s="150">
        <f t="shared" si="47"/>
        <v>214.56</v>
      </c>
      <c r="BX99" s="150">
        <f t="shared" si="48"/>
        <v>0</v>
      </c>
      <c r="BY99" s="150">
        <f t="shared" si="49"/>
        <v>12943.24</v>
      </c>
      <c r="BZ99" s="147">
        <f t="shared" si="66"/>
        <v>210</v>
      </c>
      <c r="CA99" s="147">
        <f t="shared" si="67"/>
        <v>79655.799999999988</v>
      </c>
    </row>
    <row r="100" spans="11:79">
      <c r="K100" s="132">
        <f t="shared" si="50"/>
        <v>48</v>
      </c>
      <c r="L100" s="148">
        <f t="shared" si="0"/>
        <v>47118</v>
      </c>
      <c r="M100" s="131">
        <f t="shared" si="51"/>
        <v>35000</v>
      </c>
      <c r="N100" s="131">
        <f t="shared" si="1"/>
        <v>641.66999999999996</v>
      </c>
      <c r="O100" s="131">
        <f t="shared" si="2"/>
        <v>0</v>
      </c>
      <c r="P100" s="131">
        <f t="shared" si="3"/>
        <v>0</v>
      </c>
      <c r="Q100" s="131">
        <f t="shared" si="4"/>
        <v>35000</v>
      </c>
      <c r="R100" s="131">
        <f t="shared" si="52"/>
        <v>12850</v>
      </c>
      <c r="S100" s="131">
        <f t="shared" si="5"/>
        <v>203.46</v>
      </c>
      <c r="T100" s="131">
        <f t="shared" si="6"/>
        <v>0</v>
      </c>
      <c r="U100" s="131">
        <f t="shared" si="7"/>
        <v>0</v>
      </c>
      <c r="V100" s="131">
        <f t="shared" si="8"/>
        <v>12850</v>
      </c>
      <c r="W100" s="131">
        <f t="shared" si="53"/>
        <v>0</v>
      </c>
      <c r="X100" s="131">
        <f t="shared" si="9"/>
        <v>0</v>
      </c>
      <c r="Y100" s="131">
        <f t="shared" si="10"/>
        <v>0</v>
      </c>
      <c r="Z100" s="131">
        <f t="shared" si="11"/>
        <v>0</v>
      </c>
      <c r="AA100" s="131">
        <f t="shared" si="12"/>
        <v>0</v>
      </c>
      <c r="AB100" s="131">
        <f t="shared" si="54"/>
        <v>115000</v>
      </c>
      <c r="AC100" s="131">
        <f t="shared" si="13"/>
        <v>575</v>
      </c>
      <c r="AD100" s="131">
        <f t="shared" si="14"/>
        <v>0</v>
      </c>
      <c r="AE100" s="131">
        <f t="shared" si="15"/>
        <v>0</v>
      </c>
      <c r="AF100" s="131">
        <f t="shared" si="16"/>
        <v>115000</v>
      </c>
      <c r="AG100" s="131">
        <f t="shared" si="55"/>
        <v>6478.94</v>
      </c>
      <c r="AH100" s="131">
        <f t="shared" si="17"/>
        <v>27</v>
      </c>
      <c r="AI100" s="131">
        <f t="shared" si="18"/>
        <v>23</v>
      </c>
      <c r="AJ100" s="131">
        <f t="shared" si="19"/>
        <v>210</v>
      </c>
      <c r="AK100" s="131">
        <f t="shared" si="20"/>
        <v>6245.94</v>
      </c>
      <c r="AL100" s="131">
        <f t="shared" si="56"/>
        <v>12943.24</v>
      </c>
      <c r="AM100" s="131">
        <f t="shared" si="21"/>
        <v>172.58</v>
      </c>
      <c r="AN100" s="131">
        <f t="shared" si="22"/>
        <v>217.42</v>
      </c>
      <c r="AO100" s="131">
        <f t="shared" si="23"/>
        <v>0</v>
      </c>
      <c r="AP100" s="131">
        <f t="shared" si="24"/>
        <v>12725.82</v>
      </c>
      <c r="AQ100" s="149">
        <f t="shared" si="57"/>
        <v>210</v>
      </c>
      <c r="AR100" s="149">
        <f t="shared" si="58"/>
        <v>82159.450000000012</v>
      </c>
      <c r="AS100" s="133"/>
      <c r="AT100" s="132">
        <f t="shared" si="59"/>
        <v>48</v>
      </c>
      <c r="AU100" s="148">
        <f t="shared" si="25"/>
        <v>47118</v>
      </c>
      <c r="AV100" s="131">
        <f t="shared" si="60"/>
        <v>29750</v>
      </c>
      <c r="AW100" s="131">
        <f t="shared" si="26"/>
        <v>545.41999999999996</v>
      </c>
      <c r="AX100" s="131">
        <f t="shared" si="27"/>
        <v>0</v>
      </c>
      <c r="AY100" s="131">
        <f t="shared" si="28"/>
        <v>210</v>
      </c>
      <c r="AZ100" s="131">
        <f t="shared" si="29"/>
        <v>29540</v>
      </c>
      <c r="BA100" s="131">
        <f t="shared" si="61"/>
        <v>12850</v>
      </c>
      <c r="BB100" s="131">
        <f t="shared" si="30"/>
        <v>203.46</v>
      </c>
      <c r="BC100" s="131">
        <f t="shared" si="31"/>
        <v>0</v>
      </c>
      <c r="BD100" s="131">
        <f t="shared" si="32"/>
        <v>0</v>
      </c>
      <c r="BE100" s="131">
        <f t="shared" si="33"/>
        <v>12850</v>
      </c>
      <c r="BF100" s="131">
        <f t="shared" si="62"/>
        <v>0</v>
      </c>
      <c r="BG100" s="131">
        <f t="shared" si="34"/>
        <v>0</v>
      </c>
      <c r="BH100" s="131">
        <f t="shared" si="35"/>
        <v>0</v>
      </c>
      <c r="BI100" s="131">
        <f t="shared" si="36"/>
        <v>0</v>
      </c>
      <c r="BJ100" s="131">
        <f t="shared" si="37"/>
        <v>0</v>
      </c>
      <c r="BK100" s="131">
        <f t="shared" si="63"/>
        <v>115000</v>
      </c>
      <c r="BL100" s="131">
        <f t="shared" si="38"/>
        <v>575</v>
      </c>
      <c r="BM100" s="131">
        <f t="shared" si="39"/>
        <v>0</v>
      </c>
      <c r="BN100" s="131">
        <f t="shared" si="40"/>
        <v>0</v>
      </c>
      <c r="BO100" s="131">
        <f t="shared" si="41"/>
        <v>115000</v>
      </c>
      <c r="BP100" s="131">
        <f t="shared" si="64"/>
        <v>12000</v>
      </c>
      <c r="BQ100" s="131">
        <f t="shared" si="42"/>
        <v>50</v>
      </c>
      <c r="BR100" s="131">
        <f t="shared" si="43"/>
        <v>0</v>
      </c>
      <c r="BS100" s="131">
        <f t="shared" si="44"/>
        <v>0</v>
      </c>
      <c r="BT100" s="131">
        <f t="shared" si="45"/>
        <v>12000</v>
      </c>
      <c r="BU100" s="131">
        <f t="shared" si="65"/>
        <v>12943.24</v>
      </c>
      <c r="BV100" s="131">
        <f t="shared" si="46"/>
        <v>172.58</v>
      </c>
      <c r="BW100" s="131">
        <f t="shared" si="47"/>
        <v>217.42</v>
      </c>
      <c r="BX100" s="131">
        <f t="shared" si="48"/>
        <v>0</v>
      </c>
      <c r="BY100" s="131">
        <f t="shared" si="49"/>
        <v>12725.82</v>
      </c>
      <c r="BZ100" s="147">
        <f t="shared" si="66"/>
        <v>210</v>
      </c>
      <c r="CA100" s="147">
        <f t="shared" si="67"/>
        <v>81202.259999999995</v>
      </c>
    </row>
    <row r="101" spans="11:79">
      <c r="K101" s="152">
        <f t="shared" si="50"/>
        <v>49</v>
      </c>
      <c r="L101" s="151">
        <f t="shared" si="0"/>
        <v>47149</v>
      </c>
      <c r="M101" s="150">
        <f t="shared" si="51"/>
        <v>35000</v>
      </c>
      <c r="N101" s="150">
        <f t="shared" si="1"/>
        <v>641.66999999999996</v>
      </c>
      <c r="O101" s="150">
        <f t="shared" si="2"/>
        <v>0</v>
      </c>
      <c r="P101" s="150">
        <f t="shared" si="3"/>
        <v>0</v>
      </c>
      <c r="Q101" s="150">
        <f t="shared" si="4"/>
        <v>35000</v>
      </c>
      <c r="R101" s="150">
        <f t="shared" si="52"/>
        <v>12850</v>
      </c>
      <c r="S101" s="150">
        <f t="shared" si="5"/>
        <v>203.46</v>
      </c>
      <c r="T101" s="150">
        <f t="shared" si="6"/>
        <v>0</v>
      </c>
      <c r="U101" s="150">
        <f t="shared" si="7"/>
        <v>0</v>
      </c>
      <c r="V101" s="150">
        <f t="shared" si="8"/>
        <v>12850</v>
      </c>
      <c r="W101" s="150">
        <f t="shared" si="53"/>
        <v>0</v>
      </c>
      <c r="X101" s="150">
        <f t="shared" si="9"/>
        <v>0</v>
      </c>
      <c r="Y101" s="150">
        <f t="shared" si="10"/>
        <v>0</v>
      </c>
      <c r="Z101" s="150">
        <f t="shared" si="11"/>
        <v>0</v>
      </c>
      <c r="AA101" s="150">
        <f t="shared" si="12"/>
        <v>0</v>
      </c>
      <c r="AB101" s="150">
        <f t="shared" si="54"/>
        <v>115000</v>
      </c>
      <c r="AC101" s="150">
        <f t="shared" si="13"/>
        <v>575</v>
      </c>
      <c r="AD101" s="150">
        <f t="shared" si="14"/>
        <v>0</v>
      </c>
      <c r="AE101" s="150">
        <f t="shared" si="15"/>
        <v>0</v>
      </c>
      <c r="AF101" s="150">
        <f t="shared" si="16"/>
        <v>115000</v>
      </c>
      <c r="AG101" s="150">
        <f t="shared" si="55"/>
        <v>6245.94</v>
      </c>
      <c r="AH101" s="150">
        <f t="shared" si="17"/>
        <v>26.02</v>
      </c>
      <c r="AI101" s="150">
        <f t="shared" si="18"/>
        <v>23.98</v>
      </c>
      <c r="AJ101" s="150">
        <f t="shared" si="19"/>
        <v>210</v>
      </c>
      <c r="AK101" s="150">
        <f t="shared" si="20"/>
        <v>6011.96</v>
      </c>
      <c r="AL101" s="150">
        <f t="shared" si="56"/>
        <v>12725.82</v>
      </c>
      <c r="AM101" s="150">
        <f t="shared" si="21"/>
        <v>169.68</v>
      </c>
      <c r="AN101" s="150">
        <f t="shared" si="22"/>
        <v>220.32</v>
      </c>
      <c r="AO101" s="150">
        <f t="shared" si="23"/>
        <v>0</v>
      </c>
      <c r="AP101" s="150">
        <f t="shared" si="24"/>
        <v>12505.5</v>
      </c>
      <c r="AQ101" s="149">
        <f t="shared" si="57"/>
        <v>210</v>
      </c>
      <c r="AR101" s="149">
        <f t="shared" si="58"/>
        <v>83775.280000000013</v>
      </c>
      <c r="AS101" s="133"/>
      <c r="AT101" s="152">
        <f t="shared" si="59"/>
        <v>49</v>
      </c>
      <c r="AU101" s="151">
        <f t="shared" si="25"/>
        <v>47149</v>
      </c>
      <c r="AV101" s="150">
        <f t="shared" si="60"/>
        <v>29540</v>
      </c>
      <c r="AW101" s="150">
        <f t="shared" si="26"/>
        <v>541.57000000000005</v>
      </c>
      <c r="AX101" s="150">
        <f t="shared" si="27"/>
        <v>0</v>
      </c>
      <c r="AY101" s="150">
        <f t="shared" si="28"/>
        <v>210</v>
      </c>
      <c r="AZ101" s="150">
        <f t="shared" si="29"/>
        <v>29330</v>
      </c>
      <c r="BA101" s="150">
        <f t="shared" si="61"/>
        <v>12850</v>
      </c>
      <c r="BB101" s="150">
        <f t="shared" si="30"/>
        <v>203.46</v>
      </c>
      <c r="BC101" s="150">
        <f t="shared" si="31"/>
        <v>0</v>
      </c>
      <c r="BD101" s="150">
        <f t="shared" si="32"/>
        <v>0</v>
      </c>
      <c r="BE101" s="150">
        <f t="shared" si="33"/>
        <v>12850</v>
      </c>
      <c r="BF101" s="150">
        <f t="shared" si="62"/>
        <v>0</v>
      </c>
      <c r="BG101" s="150">
        <f t="shared" si="34"/>
        <v>0</v>
      </c>
      <c r="BH101" s="150">
        <f t="shared" si="35"/>
        <v>0</v>
      </c>
      <c r="BI101" s="150">
        <f t="shared" si="36"/>
        <v>0</v>
      </c>
      <c r="BJ101" s="150">
        <f t="shared" si="37"/>
        <v>0</v>
      </c>
      <c r="BK101" s="150">
        <f t="shared" si="63"/>
        <v>115000</v>
      </c>
      <c r="BL101" s="150">
        <f t="shared" si="38"/>
        <v>575</v>
      </c>
      <c r="BM101" s="150">
        <f t="shared" si="39"/>
        <v>0</v>
      </c>
      <c r="BN101" s="150">
        <f t="shared" si="40"/>
        <v>0</v>
      </c>
      <c r="BO101" s="150">
        <f t="shared" si="41"/>
        <v>115000</v>
      </c>
      <c r="BP101" s="150">
        <f t="shared" si="64"/>
        <v>12000</v>
      </c>
      <c r="BQ101" s="150">
        <f t="shared" si="42"/>
        <v>50</v>
      </c>
      <c r="BR101" s="150">
        <f t="shared" si="43"/>
        <v>0</v>
      </c>
      <c r="BS101" s="150">
        <f t="shared" si="44"/>
        <v>0</v>
      </c>
      <c r="BT101" s="150">
        <f t="shared" si="45"/>
        <v>12000</v>
      </c>
      <c r="BU101" s="150">
        <f t="shared" si="65"/>
        <v>12725.82</v>
      </c>
      <c r="BV101" s="150">
        <f t="shared" si="46"/>
        <v>169.68</v>
      </c>
      <c r="BW101" s="150">
        <f t="shared" si="47"/>
        <v>220.32</v>
      </c>
      <c r="BX101" s="150">
        <f t="shared" si="48"/>
        <v>0</v>
      </c>
      <c r="BY101" s="150">
        <f t="shared" si="49"/>
        <v>12505.5</v>
      </c>
      <c r="BZ101" s="147">
        <f t="shared" si="66"/>
        <v>210</v>
      </c>
      <c r="CA101" s="147">
        <f t="shared" si="67"/>
        <v>82741.97</v>
      </c>
    </row>
    <row r="102" spans="11:79">
      <c r="K102" s="132">
        <f t="shared" si="50"/>
        <v>50</v>
      </c>
      <c r="L102" s="148">
        <f t="shared" si="0"/>
        <v>47177</v>
      </c>
      <c r="M102" s="131">
        <f t="shared" si="51"/>
        <v>35000</v>
      </c>
      <c r="N102" s="131">
        <f t="shared" si="1"/>
        <v>641.66999999999996</v>
      </c>
      <c r="O102" s="131">
        <f t="shared" si="2"/>
        <v>0</v>
      </c>
      <c r="P102" s="131">
        <f t="shared" si="3"/>
        <v>0</v>
      </c>
      <c r="Q102" s="131">
        <f t="shared" si="4"/>
        <v>35000</v>
      </c>
      <c r="R102" s="131">
        <f t="shared" si="52"/>
        <v>12850</v>
      </c>
      <c r="S102" s="131">
        <f t="shared" si="5"/>
        <v>203.46</v>
      </c>
      <c r="T102" s="131">
        <f t="shared" si="6"/>
        <v>0</v>
      </c>
      <c r="U102" s="131">
        <f t="shared" si="7"/>
        <v>0</v>
      </c>
      <c r="V102" s="131">
        <f t="shared" si="8"/>
        <v>12850</v>
      </c>
      <c r="W102" s="131">
        <f t="shared" si="53"/>
        <v>0</v>
      </c>
      <c r="X102" s="131">
        <f t="shared" si="9"/>
        <v>0</v>
      </c>
      <c r="Y102" s="131">
        <f t="shared" si="10"/>
        <v>0</v>
      </c>
      <c r="Z102" s="131">
        <f t="shared" si="11"/>
        <v>0</v>
      </c>
      <c r="AA102" s="131">
        <f t="shared" si="12"/>
        <v>0</v>
      </c>
      <c r="AB102" s="131">
        <f t="shared" si="54"/>
        <v>115000</v>
      </c>
      <c r="AC102" s="131">
        <f t="shared" si="13"/>
        <v>575</v>
      </c>
      <c r="AD102" s="131">
        <f t="shared" si="14"/>
        <v>0</v>
      </c>
      <c r="AE102" s="131">
        <f t="shared" si="15"/>
        <v>0</v>
      </c>
      <c r="AF102" s="131">
        <f t="shared" si="16"/>
        <v>115000</v>
      </c>
      <c r="AG102" s="131">
        <f t="shared" si="55"/>
        <v>6011.96</v>
      </c>
      <c r="AH102" s="131">
        <f t="shared" si="17"/>
        <v>25.05</v>
      </c>
      <c r="AI102" s="131">
        <f t="shared" si="18"/>
        <v>24.95</v>
      </c>
      <c r="AJ102" s="131">
        <f t="shared" si="19"/>
        <v>210</v>
      </c>
      <c r="AK102" s="131">
        <f t="shared" si="20"/>
        <v>5777.01</v>
      </c>
      <c r="AL102" s="131">
        <f t="shared" si="56"/>
        <v>12505.5</v>
      </c>
      <c r="AM102" s="131">
        <f t="shared" si="21"/>
        <v>166.74</v>
      </c>
      <c r="AN102" s="131">
        <f t="shared" si="22"/>
        <v>223.26</v>
      </c>
      <c r="AO102" s="131">
        <f t="shared" si="23"/>
        <v>0</v>
      </c>
      <c r="AP102" s="131">
        <f t="shared" si="24"/>
        <v>12282.24</v>
      </c>
      <c r="AQ102" s="149">
        <f t="shared" si="57"/>
        <v>210</v>
      </c>
      <c r="AR102" s="149">
        <f t="shared" si="58"/>
        <v>85387.200000000012</v>
      </c>
      <c r="AS102" s="133"/>
      <c r="AT102" s="132">
        <f t="shared" si="59"/>
        <v>50</v>
      </c>
      <c r="AU102" s="148">
        <f t="shared" si="25"/>
        <v>47177</v>
      </c>
      <c r="AV102" s="131">
        <f t="shared" si="60"/>
        <v>29330</v>
      </c>
      <c r="AW102" s="131">
        <f t="shared" si="26"/>
        <v>537.72</v>
      </c>
      <c r="AX102" s="131">
        <f t="shared" si="27"/>
        <v>0</v>
      </c>
      <c r="AY102" s="131">
        <f t="shared" si="28"/>
        <v>210</v>
      </c>
      <c r="AZ102" s="131">
        <f t="shared" si="29"/>
        <v>29120</v>
      </c>
      <c r="BA102" s="131">
        <f t="shared" si="61"/>
        <v>12850</v>
      </c>
      <c r="BB102" s="131">
        <f t="shared" si="30"/>
        <v>203.46</v>
      </c>
      <c r="BC102" s="131">
        <f t="shared" si="31"/>
        <v>0</v>
      </c>
      <c r="BD102" s="131">
        <f t="shared" si="32"/>
        <v>0</v>
      </c>
      <c r="BE102" s="131">
        <f t="shared" si="33"/>
        <v>12850</v>
      </c>
      <c r="BF102" s="131">
        <f t="shared" si="62"/>
        <v>0</v>
      </c>
      <c r="BG102" s="131">
        <f t="shared" si="34"/>
        <v>0</v>
      </c>
      <c r="BH102" s="131">
        <f t="shared" si="35"/>
        <v>0</v>
      </c>
      <c r="BI102" s="131">
        <f t="shared" si="36"/>
        <v>0</v>
      </c>
      <c r="BJ102" s="131">
        <f t="shared" si="37"/>
        <v>0</v>
      </c>
      <c r="BK102" s="131">
        <f t="shared" si="63"/>
        <v>115000</v>
      </c>
      <c r="BL102" s="131">
        <f t="shared" si="38"/>
        <v>575</v>
      </c>
      <c r="BM102" s="131">
        <f t="shared" si="39"/>
        <v>0</v>
      </c>
      <c r="BN102" s="131">
        <f t="shared" si="40"/>
        <v>0</v>
      </c>
      <c r="BO102" s="131">
        <f t="shared" si="41"/>
        <v>115000</v>
      </c>
      <c r="BP102" s="131">
        <f t="shared" si="64"/>
        <v>12000</v>
      </c>
      <c r="BQ102" s="131">
        <f t="shared" si="42"/>
        <v>50</v>
      </c>
      <c r="BR102" s="131">
        <f t="shared" si="43"/>
        <v>0</v>
      </c>
      <c r="BS102" s="131">
        <f t="shared" si="44"/>
        <v>0</v>
      </c>
      <c r="BT102" s="131">
        <f t="shared" si="45"/>
        <v>12000</v>
      </c>
      <c r="BU102" s="131">
        <f t="shared" si="65"/>
        <v>12505.5</v>
      </c>
      <c r="BV102" s="131">
        <f t="shared" si="46"/>
        <v>166.74</v>
      </c>
      <c r="BW102" s="131">
        <f t="shared" si="47"/>
        <v>223.26</v>
      </c>
      <c r="BX102" s="131">
        <f t="shared" si="48"/>
        <v>0</v>
      </c>
      <c r="BY102" s="131">
        <f t="shared" si="49"/>
        <v>12282.24</v>
      </c>
      <c r="BZ102" s="147">
        <f t="shared" si="66"/>
        <v>210</v>
      </c>
      <c r="CA102" s="147">
        <f t="shared" si="67"/>
        <v>84274.89</v>
      </c>
    </row>
    <row r="103" spans="11:79">
      <c r="K103" s="152">
        <f t="shared" si="50"/>
        <v>51</v>
      </c>
      <c r="L103" s="151">
        <f t="shared" si="0"/>
        <v>47208</v>
      </c>
      <c r="M103" s="150">
        <f t="shared" si="51"/>
        <v>35000</v>
      </c>
      <c r="N103" s="150">
        <f t="shared" si="1"/>
        <v>641.66999999999996</v>
      </c>
      <c r="O103" s="150">
        <f t="shared" si="2"/>
        <v>0</v>
      </c>
      <c r="P103" s="150">
        <f t="shared" si="3"/>
        <v>0</v>
      </c>
      <c r="Q103" s="150">
        <f t="shared" si="4"/>
        <v>35000</v>
      </c>
      <c r="R103" s="150">
        <f t="shared" si="52"/>
        <v>12850</v>
      </c>
      <c r="S103" s="150">
        <f t="shared" si="5"/>
        <v>203.46</v>
      </c>
      <c r="T103" s="150">
        <f t="shared" si="6"/>
        <v>0</v>
      </c>
      <c r="U103" s="150">
        <f t="shared" si="7"/>
        <v>0</v>
      </c>
      <c r="V103" s="150">
        <f t="shared" si="8"/>
        <v>12850</v>
      </c>
      <c r="W103" s="150">
        <f t="shared" si="53"/>
        <v>0</v>
      </c>
      <c r="X103" s="150">
        <f t="shared" si="9"/>
        <v>0</v>
      </c>
      <c r="Y103" s="150">
        <f t="shared" si="10"/>
        <v>0</v>
      </c>
      <c r="Z103" s="150">
        <f t="shared" si="11"/>
        <v>0</v>
      </c>
      <c r="AA103" s="150">
        <f t="shared" si="12"/>
        <v>0</v>
      </c>
      <c r="AB103" s="150">
        <f t="shared" si="54"/>
        <v>115000</v>
      </c>
      <c r="AC103" s="150">
        <f t="shared" si="13"/>
        <v>575</v>
      </c>
      <c r="AD103" s="150">
        <f t="shared" si="14"/>
        <v>0</v>
      </c>
      <c r="AE103" s="150">
        <f t="shared" si="15"/>
        <v>0</v>
      </c>
      <c r="AF103" s="150">
        <f t="shared" si="16"/>
        <v>115000</v>
      </c>
      <c r="AG103" s="150">
        <f t="shared" si="55"/>
        <v>5777.01</v>
      </c>
      <c r="AH103" s="150">
        <f t="shared" si="17"/>
        <v>24.07</v>
      </c>
      <c r="AI103" s="150">
        <f t="shared" si="18"/>
        <v>25.93</v>
      </c>
      <c r="AJ103" s="150">
        <f t="shared" si="19"/>
        <v>210</v>
      </c>
      <c r="AK103" s="150">
        <f t="shared" si="20"/>
        <v>5541.08</v>
      </c>
      <c r="AL103" s="150">
        <f t="shared" si="56"/>
        <v>12282.24</v>
      </c>
      <c r="AM103" s="150">
        <f t="shared" si="21"/>
        <v>163.76</v>
      </c>
      <c r="AN103" s="150">
        <f t="shared" si="22"/>
        <v>226.24</v>
      </c>
      <c r="AO103" s="150">
        <f t="shared" si="23"/>
        <v>0</v>
      </c>
      <c r="AP103" s="150">
        <f t="shared" si="24"/>
        <v>12056</v>
      </c>
      <c r="AQ103" s="149">
        <f t="shared" si="57"/>
        <v>210</v>
      </c>
      <c r="AR103" s="149">
        <f t="shared" si="58"/>
        <v>86995.160000000018</v>
      </c>
      <c r="AS103" s="133"/>
      <c r="AT103" s="152">
        <f t="shared" si="59"/>
        <v>51</v>
      </c>
      <c r="AU103" s="151">
        <f t="shared" si="25"/>
        <v>47208</v>
      </c>
      <c r="AV103" s="150">
        <f t="shared" si="60"/>
        <v>29120</v>
      </c>
      <c r="AW103" s="150">
        <f t="shared" si="26"/>
        <v>533.87</v>
      </c>
      <c r="AX103" s="150">
        <f t="shared" si="27"/>
        <v>0</v>
      </c>
      <c r="AY103" s="150">
        <f t="shared" si="28"/>
        <v>210</v>
      </c>
      <c r="AZ103" s="150">
        <f t="shared" si="29"/>
        <v>28910</v>
      </c>
      <c r="BA103" s="150">
        <f t="shared" si="61"/>
        <v>12850</v>
      </c>
      <c r="BB103" s="150">
        <f t="shared" si="30"/>
        <v>203.46</v>
      </c>
      <c r="BC103" s="150">
        <f t="shared" si="31"/>
        <v>0</v>
      </c>
      <c r="BD103" s="150">
        <f t="shared" si="32"/>
        <v>0</v>
      </c>
      <c r="BE103" s="150">
        <f t="shared" si="33"/>
        <v>12850</v>
      </c>
      <c r="BF103" s="150">
        <f t="shared" si="62"/>
        <v>0</v>
      </c>
      <c r="BG103" s="150">
        <f t="shared" si="34"/>
        <v>0</v>
      </c>
      <c r="BH103" s="150">
        <f t="shared" si="35"/>
        <v>0</v>
      </c>
      <c r="BI103" s="150">
        <f t="shared" si="36"/>
        <v>0</v>
      </c>
      <c r="BJ103" s="150">
        <f t="shared" si="37"/>
        <v>0</v>
      </c>
      <c r="BK103" s="150">
        <f t="shared" si="63"/>
        <v>115000</v>
      </c>
      <c r="BL103" s="150">
        <f t="shared" si="38"/>
        <v>575</v>
      </c>
      <c r="BM103" s="150">
        <f t="shared" si="39"/>
        <v>0</v>
      </c>
      <c r="BN103" s="150">
        <f t="shared" si="40"/>
        <v>0</v>
      </c>
      <c r="BO103" s="150">
        <f t="shared" si="41"/>
        <v>115000</v>
      </c>
      <c r="BP103" s="150">
        <f t="shared" si="64"/>
        <v>12000</v>
      </c>
      <c r="BQ103" s="150">
        <f t="shared" si="42"/>
        <v>50</v>
      </c>
      <c r="BR103" s="150">
        <f t="shared" si="43"/>
        <v>0</v>
      </c>
      <c r="BS103" s="150">
        <f t="shared" si="44"/>
        <v>0</v>
      </c>
      <c r="BT103" s="150">
        <f t="shared" si="45"/>
        <v>12000</v>
      </c>
      <c r="BU103" s="150">
        <f t="shared" si="65"/>
        <v>12282.24</v>
      </c>
      <c r="BV103" s="150">
        <f t="shared" si="46"/>
        <v>163.76</v>
      </c>
      <c r="BW103" s="150">
        <f t="shared" si="47"/>
        <v>226.24</v>
      </c>
      <c r="BX103" s="150">
        <f t="shared" si="48"/>
        <v>0</v>
      </c>
      <c r="BY103" s="150">
        <f t="shared" si="49"/>
        <v>12056</v>
      </c>
      <c r="BZ103" s="147">
        <f t="shared" si="66"/>
        <v>210</v>
      </c>
      <c r="CA103" s="147">
        <f t="shared" si="67"/>
        <v>85800.98</v>
      </c>
    </row>
    <row r="104" spans="11:79">
      <c r="K104" s="132">
        <f t="shared" si="50"/>
        <v>52</v>
      </c>
      <c r="L104" s="148">
        <f t="shared" si="0"/>
        <v>47238</v>
      </c>
      <c r="M104" s="131">
        <f t="shared" si="51"/>
        <v>35000</v>
      </c>
      <c r="N104" s="131">
        <f t="shared" si="1"/>
        <v>641.66999999999996</v>
      </c>
      <c r="O104" s="131">
        <f t="shared" si="2"/>
        <v>0</v>
      </c>
      <c r="P104" s="131">
        <f t="shared" si="3"/>
        <v>0</v>
      </c>
      <c r="Q104" s="131">
        <f t="shared" si="4"/>
        <v>35000</v>
      </c>
      <c r="R104" s="131">
        <f t="shared" si="52"/>
        <v>12850</v>
      </c>
      <c r="S104" s="131">
        <f t="shared" si="5"/>
        <v>203.46</v>
      </c>
      <c r="T104" s="131">
        <f t="shared" si="6"/>
        <v>0</v>
      </c>
      <c r="U104" s="131">
        <f t="shared" si="7"/>
        <v>0</v>
      </c>
      <c r="V104" s="131">
        <f t="shared" si="8"/>
        <v>12850</v>
      </c>
      <c r="W104" s="131">
        <f t="shared" si="53"/>
        <v>0</v>
      </c>
      <c r="X104" s="131">
        <f t="shared" si="9"/>
        <v>0</v>
      </c>
      <c r="Y104" s="131">
        <f t="shared" si="10"/>
        <v>0</v>
      </c>
      <c r="Z104" s="131">
        <f t="shared" si="11"/>
        <v>0</v>
      </c>
      <c r="AA104" s="131">
        <f t="shared" si="12"/>
        <v>0</v>
      </c>
      <c r="AB104" s="131">
        <f t="shared" si="54"/>
        <v>115000</v>
      </c>
      <c r="AC104" s="131">
        <f t="shared" si="13"/>
        <v>575</v>
      </c>
      <c r="AD104" s="131">
        <f t="shared" si="14"/>
        <v>0</v>
      </c>
      <c r="AE104" s="131">
        <f t="shared" si="15"/>
        <v>0</v>
      </c>
      <c r="AF104" s="131">
        <f t="shared" si="16"/>
        <v>115000</v>
      </c>
      <c r="AG104" s="131">
        <f t="shared" si="55"/>
        <v>5541.08</v>
      </c>
      <c r="AH104" s="131">
        <f t="shared" si="17"/>
        <v>23.09</v>
      </c>
      <c r="AI104" s="131">
        <f t="shared" si="18"/>
        <v>26.91</v>
      </c>
      <c r="AJ104" s="131">
        <f t="shared" si="19"/>
        <v>210</v>
      </c>
      <c r="AK104" s="131">
        <f t="shared" si="20"/>
        <v>5304.17</v>
      </c>
      <c r="AL104" s="131">
        <f t="shared" si="56"/>
        <v>12056</v>
      </c>
      <c r="AM104" s="131">
        <f t="shared" si="21"/>
        <v>160.75</v>
      </c>
      <c r="AN104" s="131">
        <f t="shared" si="22"/>
        <v>229.25</v>
      </c>
      <c r="AO104" s="131">
        <f t="shared" si="23"/>
        <v>0</v>
      </c>
      <c r="AP104" s="131">
        <f t="shared" si="24"/>
        <v>11826.75</v>
      </c>
      <c r="AQ104" s="149">
        <f t="shared" si="57"/>
        <v>210</v>
      </c>
      <c r="AR104" s="149">
        <f t="shared" si="58"/>
        <v>88599.130000000019</v>
      </c>
      <c r="AS104" s="133"/>
      <c r="AT104" s="132">
        <f t="shared" si="59"/>
        <v>52</v>
      </c>
      <c r="AU104" s="148">
        <f t="shared" si="25"/>
        <v>47238</v>
      </c>
      <c r="AV104" s="131">
        <f t="shared" si="60"/>
        <v>28910</v>
      </c>
      <c r="AW104" s="131">
        <f t="shared" si="26"/>
        <v>530.02</v>
      </c>
      <c r="AX104" s="131">
        <f t="shared" si="27"/>
        <v>0</v>
      </c>
      <c r="AY104" s="131">
        <f t="shared" si="28"/>
        <v>210</v>
      </c>
      <c r="AZ104" s="131">
        <f t="shared" si="29"/>
        <v>28700</v>
      </c>
      <c r="BA104" s="131">
        <f t="shared" si="61"/>
        <v>12850</v>
      </c>
      <c r="BB104" s="131">
        <f t="shared" si="30"/>
        <v>203.46</v>
      </c>
      <c r="BC104" s="131">
        <f t="shared" si="31"/>
        <v>0</v>
      </c>
      <c r="BD104" s="131">
        <f t="shared" si="32"/>
        <v>0</v>
      </c>
      <c r="BE104" s="131">
        <f t="shared" si="33"/>
        <v>12850</v>
      </c>
      <c r="BF104" s="131">
        <f t="shared" si="62"/>
        <v>0</v>
      </c>
      <c r="BG104" s="131">
        <f t="shared" si="34"/>
        <v>0</v>
      </c>
      <c r="BH104" s="131">
        <f t="shared" si="35"/>
        <v>0</v>
      </c>
      <c r="BI104" s="131">
        <f t="shared" si="36"/>
        <v>0</v>
      </c>
      <c r="BJ104" s="131">
        <f t="shared" si="37"/>
        <v>0</v>
      </c>
      <c r="BK104" s="131">
        <f t="shared" si="63"/>
        <v>115000</v>
      </c>
      <c r="BL104" s="131">
        <f t="shared" si="38"/>
        <v>575</v>
      </c>
      <c r="BM104" s="131">
        <f t="shared" si="39"/>
        <v>0</v>
      </c>
      <c r="BN104" s="131">
        <f t="shared" si="40"/>
        <v>0</v>
      </c>
      <c r="BO104" s="131">
        <f t="shared" si="41"/>
        <v>115000</v>
      </c>
      <c r="BP104" s="131">
        <f t="shared" si="64"/>
        <v>12000</v>
      </c>
      <c r="BQ104" s="131">
        <f t="shared" si="42"/>
        <v>50</v>
      </c>
      <c r="BR104" s="131">
        <f t="shared" si="43"/>
        <v>0</v>
      </c>
      <c r="BS104" s="131">
        <f t="shared" si="44"/>
        <v>0</v>
      </c>
      <c r="BT104" s="131">
        <f t="shared" si="45"/>
        <v>12000</v>
      </c>
      <c r="BU104" s="131">
        <f t="shared" si="65"/>
        <v>12056</v>
      </c>
      <c r="BV104" s="131">
        <f t="shared" si="46"/>
        <v>160.75</v>
      </c>
      <c r="BW104" s="131">
        <f t="shared" si="47"/>
        <v>229.25</v>
      </c>
      <c r="BX104" s="131">
        <f t="shared" si="48"/>
        <v>0</v>
      </c>
      <c r="BY104" s="131">
        <f t="shared" si="49"/>
        <v>11826.75</v>
      </c>
      <c r="BZ104" s="147">
        <f t="shared" si="66"/>
        <v>210</v>
      </c>
      <c r="CA104" s="147">
        <f t="shared" si="67"/>
        <v>87320.209999999992</v>
      </c>
    </row>
    <row r="105" spans="11:79">
      <c r="K105" s="152">
        <f t="shared" si="50"/>
        <v>53</v>
      </c>
      <c r="L105" s="151">
        <f t="shared" si="0"/>
        <v>47269</v>
      </c>
      <c r="M105" s="150">
        <f t="shared" si="51"/>
        <v>35000</v>
      </c>
      <c r="N105" s="150">
        <f t="shared" si="1"/>
        <v>641.66999999999996</v>
      </c>
      <c r="O105" s="150">
        <f t="shared" si="2"/>
        <v>0</v>
      </c>
      <c r="P105" s="150">
        <f t="shared" si="3"/>
        <v>0</v>
      </c>
      <c r="Q105" s="150">
        <f t="shared" si="4"/>
        <v>35000</v>
      </c>
      <c r="R105" s="150">
        <f t="shared" si="52"/>
        <v>12850</v>
      </c>
      <c r="S105" s="150">
        <f t="shared" si="5"/>
        <v>203.46</v>
      </c>
      <c r="T105" s="150">
        <f t="shared" si="6"/>
        <v>0</v>
      </c>
      <c r="U105" s="150">
        <f t="shared" si="7"/>
        <v>0</v>
      </c>
      <c r="V105" s="150">
        <f t="shared" si="8"/>
        <v>12850</v>
      </c>
      <c r="W105" s="150">
        <f t="shared" si="53"/>
        <v>0</v>
      </c>
      <c r="X105" s="150">
        <f t="shared" si="9"/>
        <v>0</v>
      </c>
      <c r="Y105" s="150">
        <f t="shared" si="10"/>
        <v>0</v>
      </c>
      <c r="Z105" s="150">
        <f t="shared" si="11"/>
        <v>0</v>
      </c>
      <c r="AA105" s="150">
        <f t="shared" si="12"/>
        <v>0</v>
      </c>
      <c r="AB105" s="150">
        <f t="shared" si="54"/>
        <v>115000</v>
      </c>
      <c r="AC105" s="150">
        <f t="shared" si="13"/>
        <v>575</v>
      </c>
      <c r="AD105" s="150">
        <f t="shared" si="14"/>
        <v>0</v>
      </c>
      <c r="AE105" s="150">
        <f t="shared" si="15"/>
        <v>0</v>
      </c>
      <c r="AF105" s="150">
        <f t="shared" si="16"/>
        <v>115000</v>
      </c>
      <c r="AG105" s="150">
        <f t="shared" si="55"/>
        <v>5304.17</v>
      </c>
      <c r="AH105" s="150">
        <f t="shared" si="17"/>
        <v>22.1</v>
      </c>
      <c r="AI105" s="150">
        <f t="shared" si="18"/>
        <v>27.9</v>
      </c>
      <c r="AJ105" s="150">
        <f t="shared" si="19"/>
        <v>210</v>
      </c>
      <c r="AK105" s="150">
        <f t="shared" si="20"/>
        <v>5066.2700000000004</v>
      </c>
      <c r="AL105" s="150">
        <f t="shared" si="56"/>
        <v>11826.75</v>
      </c>
      <c r="AM105" s="150">
        <f t="shared" si="21"/>
        <v>157.69</v>
      </c>
      <c r="AN105" s="150">
        <f t="shared" si="22"/>
        <v>232.31</v>
      </c>
      <c r="AO105" s="150">
        <f t="shared" si="23"/>
        <v>0</v>
      </c>
      <c r="AP105" s="150">
        <f t="shared" si="24"/>
        <v>11594.44</v>
      </c>
      <c r="AQ105" s="149">
        <f t="shared" si="57"/>
        <v>210</v>
      </c>
      <c r="AR105" s="149">
        <f t="shared" si="58"/>
        <v>90199.050000000017</v>
      </c>
      <c r="AS105" s="133"/>
      <c r="AT105" s="152">
        <f t="shared" si="59"/>
        <v>53</v>
      </c>
      <c r="AU105" s="151">
        <f t="shared" si="25"/>
        <v>47269</v>
      </c>
      <c r="AV105" s="150">
        <f t="shared" si="60"/>
        <v>28700</v>
      </c>
      <c r="AW105" s="150">
        <f t="shared" si="26"/>
        <v>526.16999999999996</v>
      </c>
      <c r="AX105" s="150">
        <f t="shared" si="27"/>
        <v>0</v>
      </c>
      <c r="AY105" s="150">
        <f t="shared" si="28"/>
        <v>210</v>
      </c>
      <c r="AZ105" s="150">
        <f t="shared" si="29"/>
        <v>28490</v>
      </c>
      <c r="BA105" s="150">
        <f t="shared" si="61"/>
        <v>12850</v>
      </c>
      <c r="BB105" s="150">
        <f t="shared" si="30"/>
        <v>203.46</v>
      </c>
      <c r="BC105" s="150">
        <f t="shared" si="31"/>
        <v>0</v>
      </c>
      <c r="BD105" s="150">
        <f t="shared" si="32"/>
        <v>0</v>
      </c>
      <c r="BE105" s="150">
        <f t="shared" si="33"/>
        <v>12850</v>
      </c>
      <c r="BF105" s="150">
        <f t="shared" si="62"/>
        <v>0</v>
      </c>
      <c r="BG105" s="150">
        <f t="shared" si="34"/>
        <v>0</v>
      </c>
      <c r="BH105" s="150">
        <f t="shared" si="35"/>
        <v>0</v>
      </c>
      <c r="BI105" s="150">
        <f t="shared" si="36"/>
        <v>0</v>
      </c>
      <c r="BJ105" s="150">
        <f t="shared" si="37"/>
        <v>0</v>
      </c>
      <c r="BK105" s="150">
        <f t="shared" si="63"/>
        <v>115000</v>
      </c>
      <c r="BL105" s="150">
        <f t="shared" si="38"/>
        <v>575</v>
      </c>
      <c r="BM105" s="150">
        <f t="shared" si="39"/>
        <v>0</v>
      </c>
      <c r="BN105" s="150">
        <f t="shared" si="40"/>
        <v>0</v>
      </c>
      <c r="BO105" s="150">
        <f t="shared" si="41"/>
        <v>115000</v>
      </c>
      <c r="BP105" s="150">
        <f t="shared" si="64"/>
        <v>12000</v>
      </c>
      <c r="BQ105" s="150">
        <f t="shared" si="42"/>
        <v>50</v>
      </c>
      <c r="BR105" s="150">
        <f t="shared" si="43"/>
        <v>0</v>
      </c>
      <c r="BS105" s="150">
        <f t="shared" si="44"/>
        <v>0</v>
      </c>
      <c r="BT105" s="150">
        <f t="shared" si="45"/>
        <v>12000</v>
      </c>
      <c r="BU105" s="150">
        <f t="shared" si="65"/>
        <v>11826.75</v>
      </c>
      <c r="BV105" s="150">
        <f t="shared" si="46"/>
        <v>157.69</v>
      </c>
      <c r="BW105" s="150">
        <f t="shared" si="47"/>
        <v>232.31</v>
      </c>
      <c r="BX105" s="150">
        <f t="shared" si="48"/>
        <v>0</v>
      </c>
      <c r="BY105" s="150">
        <f t="shared" si="49"/>
        <v>11594.44</v>
      </c>
      <c r="BZ105" s="147">
        <f t="shared" si="66"/>
        <v>210</v>
      </c>
      <c r="CA105" s="147">
        <f t="shared" si="67"/>
        <v>88832.53</v>
      </c>
    </row>
    <row r="106" spans="11:79">
      <c r="K106" s="132">
        <f t="shared" si="50"/>
        <v>54</v>
      </c>
      <c r="L106" s="148">
        <f t="shared" si="0"/>
        <v>47299</v>
      </c>
      <c r="M106" s="131">
        <f t="shared" si="51"/>
        <v>35000</v>
      </c>
      <c r="N106" s="131">
        <f t="shared" si="1"/>
        <v>641.66999999999996</v>
      </c>
      <c r="O106" s="131">
        <f t="shared" si="2"/>
        <v>0</v>
      </c>
      <c r="P106" s="131">
        <f t="shared" si="3"/>
        <v>0</v>
      </c>
      <c r="Q106" s="131">
        <f t="shared" si="4"/>
        <v>35000</v>
      </c>
      <c r="R106" s="131">
        <f t="shared" si="52"/>
        <v>12850</v>
      </c>
      <c r="S106" s="131">
        <f t="shared" si="5"/>
        <v>203.46</v>
      </c>
      <c r="T106" s="131">
        <f t="shared" si="6"/>
        <v>0</v>
      </c>
      <c r="U106" s="131">
        <f t="shared" si="7"/>
        <v>0</v>
      </c>
      <c r="V106" s="131">
        <f t="shared" si="8"/>
        <v>12850</v>
      </c>
      <c r="W106" s="131">
        <f t="shared" si="53"/>
        <v>0</v>
      </c>
      <c r="X106" s="131">
        <f t="shared" si="9"/>
        <v>0</v>
      </c>
      <c r="Y106" s="131">
        <f t="shared" si="10"/>
        <v>0</v>
      </c>
      <c r="Z106" s="131">
        <f t="shared" si="11"/>
        <v>0</v>
      </c>
      <c r="AA106" s="131">
        <f t="shared" si="12"/>
        <v>0</v>
      </c>
      <c r="AB106" s="131">
        <f t="shared" si="54"/>
        <v>115000</v>
      </c>
      <c r="AC106" s="131">
        <f t="shared" si="13"/>
        <v>575</v>
      </c>
      <c r="AD106" s="131">
        <f t="shared" si="14"/>
        <v>0</v>
      </c>
      <c r="AE106" s="131">
        <f t="shared" si="15"/>
        <v>0</v>
      </c>
      <c r="AF106" s="131">
        <f t="shared" si="16"/>
        <v>115000</v>
      </c>
      <c r="AG106" s="131">
        <f t="shared" si="55"/>
        <v>5066.2700000000004</v>
      </c>
      <c r="AH106" s="131">
        <f t="shared" si="17"/>
        <v>21.11</v>
      </c>
      <c r="AI106" s="131">
        <f t="shared" si="18"/>
        <v>28.89</v>
      </c>
      <c r="AJ106" s="131">
        <f t="shared" si="19"/>
        <v>210</v>
      </c>
      <c r="AK106" s="131">
        <f t="shared" si="20"/>
        <v>4827.38</v>
      </c>
      <c r="AL106" s="131">
        <f t="shared" si="56"/>
        <v>11594.44</v>
      </c>
      <c r="AM106" s="131">
        <f t="shared" si="21"/>
        <v>154.59</v>
      </c>
      <c r="AN106" s="131">
        <f t="shared" si="22"/>
        <v>235.41</v>
      </c>
      <c r="AO106" s="131">
        <f t="shared" si="23"/>
        <v>0</v>
      </c>
      <c r="AP106" s="131">
        <f t="shared" si="24"/>
        <v>11359.03</v>
      </c>
      <c r="AQ106" s="149">
        <f t="shared" si="57"/>
        <v>210</v>
      </c>
      <c r="AR106" s="149">
        <f t="shared" si="58"/>
        <v>91794.880000000019</v>
      </c>
      <c r="AS106" s="133"/>
      <c r="AT106" s="132">
        <f t="shared" si="59"/>
        <v>54</v>
      </c>
      <c r="AU106" s="148">
        <f t="shared" si="25"/>
        <v>47299</v>
      </c>
      <c r="AV106" s="131">
        <f t="shared" si="60"/>
        <v>28490</v>
      </c>
      <c r="AW106" s="131">
        <f t="shared" si="26"/>
        <v>522.32000000000005</v>
      </c>
      <c r="AX106" s="131">
        <f t="shared" si="27"/>
        <v>0</v>
      </c>
      <c r="AY106" s="131">
        <f t="shared" si="28"/>
        <v>210</v>
      </c>
      <c r="AZ106" s="131">
        <f t="shared" si="29"/>
        <v>28280</v>
      </c>
      <c r="BA106" s="131">
        <f t="shared" si="61"/>
        <v>12850</v>
      </c>
      <c r="BB106" s="131">
        <f t="shared" si="30"/>
        <v>203.46</v>
      </c>
      <c r="BC106" s="131">
        <f t="shared" si="31"/>
        <v>0</v>
      </c>
      <c r="BD106" s="131">
        <f t="shared" si="32"/>
        <v>0</v>
      </c>
      <c r="BE106" s="131">
        <f t="shared" si="33"/>
        <v>12850</v>
      </c>
      <c r="BF106" s="131">
        <f t="shared" si="62"/>
        <v>0</v>
      </c>
      <c r="BG106" s="131">
        <f t="shared" si="34"/>
        <v>0</v>
      </c>
      <c r="BH106" s="131">
        <f t="shared" si="35"/>
        <v>0</v>
      </c>
      <c r="BI106" s="131">
        <f t="shared" si="36"/>
        <v>0</v>
      </c>
      <c r="BJ106" s="131">
        <f t="shared" si="37"/>
        <v>0</v>
      </c>
      <c r="BK106" s="131">
        <f t="shared" si="63"/>
        <v>115000</v>
      </c>
      <c r="BL106" s="131">
        <f t="shared" si="38"/>
        <v>575</v>
      </c>
      <c r="BM106" s="131">
        <f t="shared" si="39"/>
        <v>0</v>
      </c>
      <c r="BN106" s="131">
        <f t="shared" si="40"/>
        <v>0</v>
      </c>
      <c r="BO106" s="131">
        <f t="shared" si="41"/>
        <v>115000</v>
      </c>
      <c r="BP106" s="131">
        <f t="shared" si="64"/>
        <v>12000</v>
      </c>
      <c r="BQ106" s="131">
        <f t="shared" si="42"/>
        <v>50</v>
      </c>
      <c r="BR106" s="131">
        <f t="shared" si="43"/>
        <v>0</v>
      </c>
      <c r="BS106" s="131">
        <f t="shared" si="44"/>
        <v>0</v>
      </c>
      <c r="BT106" s="131">
        <f t="shared" si="45"/>
        <v>12000</v>
      </c>
      <c r="BU106" s="131">
        <f t="shared" si="65"/>
        <v>11594.44</v>
      </c>
      <c r="BV106" s="131">
        <f t="shared" si="46"/>
        <v>154.59</v>
      </c>
      <c r="BW106" s="131">
        <f t="shared" si="47"/>
        <v>235.41</v>
      </c>
      <c r="BX106" s="131">
        <f t="shared" si="48"/>
        <v>0</v>
      </c>
      <c r="BY106" s="131">
        <f t="shared" si="49"/>
        <v>11359.03</v>
      </c>
      <c r="BZ106" s="147">
        <f t="shared" si="66"/>
        <v>210</v>
      </c>
      <c r="CA106" s="147">
        <f t="shared" si="67"/>
        <v>90337.9</v>
      </c>
    </row>
    <row r="107" spans="11:79">
      <c r="K107" s="152">
        <f t="shared" si="50"/>
        <v>55</v>
      </c>
      <c r="L107" s="151">
        <f t="shared" si="0"/>
        <v>47330</v>
      </c>
      <c r="M107" s="150">
        <f t="shared" si="51"/>
        <v>35000</v>
      </c>
      <c r="N107" s="150">
        <f t="shared" si="1"/>
        <v>641.66999999999996</v>
      </c>
      <c r="O107" s="150">
        <f t="shared" si="2"/>
        <v>0</v>
      </c>
      <c r="P107" s="150">
        <f t="shared" si="3"/>
        <v>0</v>
      </c>
      <c r="Q107" s="150">
        <f t="shared" si="4"/>
        <v>35000</v>
      </c>
      <c r="R107" s="150">
        <f t="shared" si="52"/>
        <v>12850</v>
      </c>
      <c r="S107" s="150">
        <f t="shared" si="5"/>
        <v>203.46</v>
      </c>
      <c r="T107" s="150">
        <f t="shared" si="6"/>
        <v>0</v>
      </c>
      <c r="U107" s="150">
        <f t="shared" si="7"/>
        <v>0</v>
      </c>
      <c r="V107" s="150">
        <f t="shared" si="8"/>
        <v>12850</v>
      </c>
      <c r="W107" s="150">
        <f t="shared" si="53"/>
        <v>0</v>
      </c>
      <c r="X107" s="150">
        <f t="shared" si="9"/>
        <v>0</v>
      </c>
      <c r="Y107" s="150">
        <f t="shared" si="10"/>
        <v>0</v>
      </c>
      <c r="Z107" s="150">
        <f t="shared" si="11"/>
        <v>0</v>
      </c>
      <c r="AA107" s="150">
        <f t="shared" si="12"/>
        <v>0</v>
      </c>
      <c r="AB107" s="150">
        <f t="shared" si="54"/>
        <v>115000</v>
      </c>
      <c r="AC107" s="150">
        <f t="shared" si="13"/>
        <v>575</v>
      </c>
      <c r="AD107" s="150">
        <f t="shared" si="14"/>
        <v>0</v>
      </c>
      <c r="AE107" s="150">
        <f t="shared" si="15"/>
        <v>0</v>
      </c>
      <c r="AF107" s="150">
        <f t="shared" si="16"/>
        <v>115000</v>
      </c>
      <c r="AG107" s="150">
        <f t="shared" si="55"/>
        <v>4827.38</v>
      </c>
      <c r="AH107" s="150">
        <f t="shared" si="17"/>
        <v>20.11</v>
      </c>
      <c r="AI107" s="150">
        <f t="shared" si="18"/>
        <v>29.89</v>
      </c>
      <c r="AJ107" s="150">
        <f t="shared" si="19"/>
        <v>210</v>
      </c>
      <c r="AK107" s="150">
        <f t="shared" si="20"/>
        <v>4587.49</v>
      </c>
      <c r="AL107" s="150">
        <f t="shared" si="56"/>
        <v>11359.03</v>
      </c>
      <c r="AM107" s="150">
        <f t="shared" si="21"/>
        <v>151.44999999999999</v>
      </c>
      <c r="AN107" s="150">
        <f t="shared" si="22"/>
        <v>238.55</v>
      </c>
      <c r="AO107" s="150">
        <f t="shared" si="23"/>
        <v>0</v>
      </c>
      <c r="AP107" s="150">
        <f t="shared" si="24"/>
        <v>11120.48</v>
      </c>
      <c r="AQ107" s="149">
        <f t="shared" si="57"/>
        <v>210</v>
      </c>
      <c r="AR107" s="149">
        <f t="shared" si="58"/>
        <v>93386.570000000022</v>
      </c>
      <c r="AS107" s="133"/>
      <c r="AT107" s="152">
        <f t="shared" si="59"/>
        <v>55</v>
      </c>
      <c r="AU107" s="151">
        <f t="shared" si="25"/>
        <v>47330</v>
      </c>
      <c r="AV107" s="150">
        <f t="shared" si="60"/>
        <v>28280</v>
      </c>
      <c r="AW107" s="150">
        <f t="shared" si="26"/>
        <v>518.47</v>
      </c>
      <c r="AX107" s="150">
        <f t="shared" si="27"/>
        <v>0</v>
      </c>
      <c r="AY107" s="150">
        <f t="shared" si="28"/>
        <v>210</v>
      </c>
      <c r="AZ107" s="150">
        <f t="shared" si="29"/>
        <v>28070</v>
      </c>
      <c r="BA107" s="150">
        <f t="shared" si="61"/>
        <v>12850</v>
      </c>
      <c r="BB107" s="150">
        <f t="shared" si="30"/>
        <v>203.46</v>
      </c>
      <c r="BC107" s="150">
        <f t="shared" si="31"/>
        <v>0</v>
      </c>
      <c r="BD107" s="150">
        <f t="shared" si="32"/>
        <v>0</v>
      </c>
      <c r="BE107" s="150">
        <f t="shared" si="33"/>
        <v>12850</v>
      </c>
      <c r="BF107" s="150">
        <f t="shared" si="62"/>
        <v>0</v>
      </c>
      <c r="BG107" s="150">
        <f t="shared" si="34"/>
        <v>0</v>
      </c>
      <c r="BH107" s="150">
        <f t="shared" si="35"/>
        <v>0</v>
      </c>
      <c r="BI107" s="150">
        <f t="shared" si="36"/>
        <v>0</v>
      </c>
      <c r="BJ107" s="150">
        <f t="shared" si="37"/>
        <v>0</v>
      </c>
      <c r="BK107" s="150">
        <f t="shared" si="63"/>
        <v>115000</v>
      </c>
      <c r="BL107" s="150">
        <f t="shared" si="38"/>
        <v>575</v>
      </c>
      <c r="BM107" s="150">
        <f t="shared" si="39"/>
        <v>0</v>
      </c>
      <c r="BN107" s="150">
        <f t="shared" si="40"/>
        <v>0</v>
      </c>
      <c r="BO107" s="150">
        <f t="shared" si="41"/>
        <v>115000</v>
      </c>
      <c r="BP107" s="150">
        <f t="shared" si="64"/>
        <v>12000</v>
      </c>
      <c r="BQ107" s="150">
        <f t="shared" si="42"/>
        <v>50</v>
      </c>
      <c r="BR107" s="150">
        <f t="shared" si="43"/>
        <v>0</v>
      </c>
      <c r="BS107" s="150">
        <f t="shared" si="44"/>
        <v>0</v>
      </c>
      <c r="BT107" s="150">
        <f t="shared" si="45"/>
        <v>12000</v>
      </c>
      <c r="BU107" s="150">
        <f t="shared" si="65"/>
        <v>11359.03</v>
      </c>
      <c r="BV107" s="150">
        <f t="shared" si="46"/>
        <v>151.44999999999999</v>
      </c>
      <c r="BW107" s="150">
        <f t="shared" si="47"/>
        <v>238.55</v>
      </c>
      <c r="BX107" s="150">
        <f t="shared" si="48"/>
        <v>0</v>
      </c>
      <c r="BY107" s="150">
        <f t="shared" si="49"/>
        <v>11120.48</v>
      </c>
      <c r="BZ107" s="147">
        <f t="shared" si="66"/>
        <v>210</v>
      </c>
      <c r="CA107" s="147">
        <f t="shared" si="67"/>
        <v>91836.28</v>
      </c>
    </row>
    <row r="108" spans="11:79">
      <c r="K108" s="132">
        <f t="shared" si="50"/>
        <v>56</v>
      </c>
      <c r="L108" s="148">
        <f t="shared" si="0"/>
        <v>47361</v>
      </c>
      <c r="M108" s="131">
        <f t="shared" si="51"/>
        <v>35000</v>
      </c>
      <c r="N108" s="131">
        <f t="shared" si="1"/>
        <v>641.66999999999996</v>
      </c>
      <c r="O108" s="131">
        <f t="shared" si="2"/>
        <v>0</v>
      </c>
      <c r="P108" s="131">
        <f t="shared" si="3"/>
        <v>0</v>
      </c>
      <c r="Q108" s="131">
        <f t="shared" si="4"/>
        <v>35000</v>
      </c>
      <c r="R108" s="131">
        <f t="shared" si="52"/>
        <v>12850</v>
      </c>
      <c r="S108" s="131">
        <f t="shared" si="5"/>
        <v>203.46</v>
      </c>
      <c r="T108" s="131">
        <f t="shared" si="6"/>
        <v>0</v>
      </c>
      <c r="U108" s="131">
        <f t="shared" si="7"/>
        <v>0</v>
      </c>
      <c r="V108" s="131">
        <f t="shared" si="8"/>
        <v>12850</v>
      </c>
      <c r="W108" s="131">
        <f t="shared" si="53"/>
        <v>0</v>
      </c>
      <c r="X108" s="131">
        <f t="shared" si="9"/>
        <v>0</v>
      </c>
      <c r="Y108" s="131">
        <f t="shared" si="10"/>
        <v>0</v>
      </c>
      <c r="Z108" s="131">
        <f t="shared" si="11"/>
        <v>0</v>
      </c>
      <c r="AA108" s="131">
        <f t="shared" si="12"/>
        <v>0</v>
      </c>
      <c r="AB108" s="131">
        <f t="shared" si="54"/>
        <v>115000</v>
      </c>
      <c r="AC108" s="131">
        <f t="shared" si="13"/>
        <v>575</v>
      </c>
      <c r="AD108" s="131">
        <f t="shared" si="14"/>
        <v>0</v>
      </c>
      <c r="AE108" s="131">
        <f t="shared" si="15"/>
        <v>0</v>
      </c>
      <c r="AF108" s="131">
        <f t="shared" si="16"/>
        <v>115000</v>
      </c>
      <c r="AG108" s="131">
        <f t="shared" si="55"/>
        <v>4587.49</v>
      </c>
      <c r="AH108" s="131">
        <f t="shared" si="17"/>
        <v>19.11</v>
      </c>
      <c r="AI108" s="131">
        <f t="shared" si="18"/>
        <v>30.89</v>
      </c>
      <c r="AJ108" s="131">
        <f t="shared" si="19"/>
        <v>210</v>
      </c>
      <c r="AK108" s="131">
        <f t="shared" si="20"/>
        <v>4346.6000000000004</v>
      </c>
      <c r="AL108" s="131">
        <f t="shared" si="56"/>
        <v>11120.48</v>
      </c>
      <c r="AM108" s="131">
        <f t="shared" si="21"/>
        <v>148.27000000000001</v>
      </c>
      <c r="AN108" s="131">
        <f t="shared" si="22"/>
        <v>241.73</v>
      </c>
      <c r="AO108" s="131">
        <f t="shared" si="23"/>
        <v>0</v>
      </c>
      <c r="AP108" s="131">
        <f t="shared" si="24"/>
        <v>10878.75</v>
      </c>
      <c r="AQ108" s="149">
        <f t="shared" si="57"/>
        <v>210</v>
      </c>
      <c r="AR108" s="149">
        <f t="shared" si="58"/>
        <v>94974.080000000016</v>
      </c>
      <c r="AS108" s="133"/>
      <c r="AT108" s="132">
        <f t="shared" si="59"/>
        <v>56</v>
      </c>
      <c r="AU108" s="148">
        <f t="shared" si="25"/>
        <v>47361</v>
      </c>
      <c r="AV108" s="131">
        <f t="shared" si="60"/>
        <v>28070</v>
      </c>
      <c r="AW108" s="131">
        <f t="shared" si="26"/>
        <v>514.62</v>
      </c>
      <c r="AX108" s="131">
        <f t="shared" si="27"/>
        <v>0</v>
      </c>
      <c r="AY108" s="131">
        <f t="shared" si="28"/>
        <v>210</v>
      </c>
      <c r="AZ108" s="131">
        <f t="shared" si="29"/>
        <v>27860</v>
      </c>
      <c r="BA108" s="131">
        <f t="shared" si="61"/>
        <v>12850</v>
      </c>
      <c r="BB108" s="131">
        <f t="shared" si="30"/>
        <v>203.46</v>
      </c>
      <c r="BC108" s="131">
        <f t="shared" si="31"/>
        <v>0</v>
      </c>
      <c r="BD108" s="131">
        <f t="shared" si="32"/>
        <v>0</v>
      </c>
      <c r="BE108" s="131">
        <f t="shared" si="33"/>
        <v>12850</v>
      </c>
      <c r="BF108" s="131">
        <f t="shared" si="62"/>
        <v>0</v>
      </c>
      <c r="BG108" s="131">
        <f t="shared" si="34"/>
        <v>0</v>
      </c>
      <c r="BH108" s="131">
        <f t="shared" si="35"/>
        <v>0</v>
      </c>
      <c r="BI108" s="131">
        <f t="shared" si="36"/>
        <v>0</v>
      </c>
      <c r="BJ108" s="131">
        <f t="shared" si="37"/>
        <v>0</v>
      </c>
      <c r="BK108" s="131">
        <f t="shared" si="63"/>
        <v>115000</v>
      </c>
      <c r="BL108" s="131">
        <f t="shared" si="38"/>
        <v>575</v>
      </c>
      <c r="BM108" s="131">
        <f t="shared" si="39"/>
        <v>0</v>
      </c>
      <c r="BN108" s="131">
        <f t="shared" si="40"/>
        <v>0</v>
      </c>
      <c r="BO108" s="131">
        <f t="shared" si="41"/>
        <v>115000</v>
      </c>
      <c r="BP108" s="131">
        <f t="shared" si="64"/>
        <v>12000</v>
      </c>
      <c r="BQ108" s="131">
        <f t="shared" si="42"/>
        <v>50</v>
      </c>
      <c r="BR108" s="131">
        <f t="shared" si="43"/>
        <v>0</v>
      </c>
      <c r="BS108" s="131">
        <f t="shared" si="44"/>
        <v>0</v>
      </c>
      <c r="BT108" s="131">
        <f t="shared" si="45"/>
        <v>12000</v>
      </c>
      <c r="BU108" s="131">
        <f t="shared" si="65"/>
        <v>11120.48</v>
      </c>
      <c r="BV108" s="131">
        <f t="shared" si="46"/>
        <v>148.27000000000001</v>
      </c>
      <c r="BW108" s="131">
        <f t="shared" si="47"/>
        <v>241.73</v>
      </c>
      <c r="BX108" s="131">
        <f t="shared" si="48"/>
        <v>0</v>
      </c>
      <c r="BY108" s="131">
        <f t="shared" si="49"/>
        <v>10878.75</v>
      </c>
      <c r="BZ108" s="147">
        <f t="shared" si="66"/>
        <v>210</v>
      </c>
      <c r="CA108" s="147">
        <f t="shared" si="67"/>
        <v>93327.63</v>
      </c>
    </row>
    <row r="109" spans="11:79">
      <c r="K109" s="152">
        <f t="shared" si="50"/>
        <v>57</v>
      </c>
      <c r="L109" s="151">
        <f t="shared" si="0"/>
        <v>47391</v>
      </c>
      <c r="M109" s="150">
        <f t="shared" si="51"/>
        <v>35000</v>
      </c>
      <c r="N109" s="150">
        <f t="shared" si="1"/>
        <v>641.66999999999996</v>
      </c>
      <c r="O109" s="150">
        <f t="shared" si="2"/>
        <v>0</v>
      </c>
      <c r="P109" s="150">
        <f t="shared" si="3"/>
        <v>0</v>
      </c>
      <c r="Q109" s="150">
        <f t="shared" si="4"/>
        <v>35000</v>
      </c>
      <c r="R109" s="150">
        <f t="shared" si="52"/>
        <v>12850</v>
      </c>
      <c r="S109" s="150">
        <f t="shared" si="5"/>
        <v>203.46</v>
      </c>
      <c r="T109" s="150">
        <f t="shared" si="6"/>
        <v>0</v>
      </c>
      <c r="U109" s="150">
        <f t="shared" si="7"/>
        <v>0</v>
      </c>
      <c r="V109" s="150">
        <f t="shared" si="8"/>
        <v>12850</v>
      </c>
      <c r="W109" s="150">
        <f t="shared" si="53"/>
        <v>0</v>
      </c>
      <c r="X109" s="150">
        <f t="shared" si="9"/>
        <v>0</v>
      </c>
      <c r="Y109" s="150">
        <f t="shared" si="10"/>
        <v>0</v>
      </c>
      <c r="Z109" s="150">
        <f t="shared" si="11"/>
        <v>0</v>
      </c>
      <c r="AA109" s="150">
        <f t="shared" si="12"/>
        <v>0</v>
      </c>
      <c r="AB109" s="150">
        <f t="shared" si="54"/>
        <v>115000</v>
      </c>
      <c r="AC109" s="150">
        <f t="shared" si="13"/>
        <v>575</v>
      </c>
      <c r="AD109" s="150">
        <f t="shared" si="14"/>
        <v>0</v>
      </c>
      <c r="AE109" s="150">
        <f t="shared" si="15"/>
        <v>0</v>
      </c>
      <c r="AF109" s="150">
        <f t="shared" si="16"/>
        <v>115000</v>
      </c>
      <c r="AG109" s="150">
        <f t="shared" si="55"/>
        <v>4346.6000000000004</v>
      </c>
      <c r="AH109" s="150">
        <f t="shared" si="17"/>
        <v>18.11</v>
      </c>
      <c r="AI109" s="150">
        <f t="shared" si="18"/>
        <v>31.89</v>
      </c>
      <c r="AJ109" s="150">
        <f t="shared" si="19"/>
        <v>210</v>
      </c>
      <c r="AK109" s="150">
        <f t="shared" si="20"/>
        <v>4104.71</v>
      </c>
      <c r="AL109" s="150">
        <f t="shared" si="56"/>
        <v>10878.75</v>
      </c>
      <c r="AM109" s="150">
        <f t="shared" si="21"/>
        <v>145.05000000000001</v>
      </c>
      <c r="AN109" s="150">
        <f t="shared" si="22"/>
        <v>244.95</v>
      </c>
      <c r="AO109" s="150">
        <f t="shared" si="23"/>
        <v>0</v>
      </c>
      <c r="AP109" s="150">
        <f t="shared" si="24"/>
        <v>10633.8</v>
      </c>
      <c r="AQ109" s="149">
        <f t="shared" si="57"/>
        <v>210</v>
      </c>
      <c r="AR109" s="149">
        <f t="shared" si="58"/>
        <v>96557.37000000001</v>
      </c>
      <c r="AS109" s="133"/>
      <c r="AT109" s="152">
        <f t="shared" si="59"/>
        <v>57</v>
      </c>
      <c r="AU109" s="151">
        <f t="shared" si="25"/>
        <v>47391</v>
      </c>
      <c r="AV109" s="150">
        <f t="shared" si="60"/>
        <v>27860</v>
      </c>
      <c r="AW109" s="150">
        <f t="shared" si="26"/>
        <v>510.77</v>
      </c>
      <c r="AX109" s="150">
        <f t="shared" si="27"/>
        <v>0</v>
      </c>
      <c r="AY109" s="150">
        <f t="shared" si="28"/>
        <v>210</v>
      </c>
      <c r="AZ109" s="150">
        <f t="shared" si="29"/>
        <v>27650</v>
      </c>
      <c r="BA109" s="150">
        <f t="shared" si="61"/>
        <v>12850</v>
      </c>
      <c r="BB109" s="150">
        <f t="shared" si="30"/>
        <v>203.46</v>
      </c>
      <c r="BC109" s="150">
        <f t="shared" si="31"/>
        <v>0</v>
      </c>
      <c r="BD109" s="150">
        <f t="shared" si="32"/>
        <v>0</v>
      </c>
      <c r="BE109" s="150">
        <f t="shared" si="33"/>
        <v>12850</v>
      </c>
      <c r="BF109" s="150">
        <f t="shared" si="62"/>
        <v>0</v>
      </c>
      <c r="BG109" s="150">
        <f t="shared" si="34"/>
        <v>0</v>
      </c>
      <c r="BH109" s="150">
        <f t="shared" si="35"/>
        <v>0</v>
      </c>
      <c r="BI109" s="150">
        <f t="shared" si="36"/>
        <v>0</v>
      </c>
      <c r="BJ109" s="150">
        <f t="shared" si="37"/>
        <v>0</v>
      </c>
      <c r="BK109" s="150">
        <f t="shared" si="63"/>
        <v>115000</v>
      </c>
      <c r="BL109" s="150">
        <f t="shared" si="38"/>
        <v>575</v>
      </c>
      <c r="BM109" s="150">
        <f t="shared" si="39"/>
        <v>0</v>
      </c>
      <c r="BN109" s="150">
        <f t="shared" si="40"/>
        <v>0</v>
      </c>
      <c r="BO109" s="150">
        <f t="shared" si="41"/>
        <v>115000</v>
      </c>
      <c r="BP109" s="150">
        <f t="shared" si="64"/>
        <v>12000</v>
      </c>
      <c r="BQ109" s="150">
        <f t="shared" si="42"/>
        <v>50</v>
      </c>
      <c r="BR109" s="150">
        <f t="shared" si="43"/>
        <v>0</v>
      </c>
      <c r="BS109" s="150">
        <f t="shared" si="44"/>
        <v>0</v>
      </c>
      <c r="BT109" s="150">
        <f t="shared" si="45"/>
        <v>12000</v>
      </c>
      <c r="BU109" s="150">
        <f t="shared" si="65"/>
        <v>10878.75</v>
      </c>
      <c r="BV109" s="150">
        <f t="shared" si="46"/>
        <v>145.05000000000001</v>
      </c>
      <c r="BW109" s="150">
        <f t="shared" si="47"/>
        <v>244.95</v>
      </c>
      <c r="BX109" s="150">
        <f t="shared" si="48"/>
        <v>0</v>
      </c>
      <c r="BY109" s="150">
        <f t="shared" si="49"/>
        <v>10633.8</v>
      </c>
      <c r="BZ109" s="147">
        <f t="shared" si="66"/>
        <v>210</v>
      </c>
      <c r="CA109" s="147">
        <f t="shared" si="67"/>
        <v>94811.91</v>
      </c>
    </row>
    <row r="110" spans="11:79">
      <c r="K110" s="132">
        <f t="shared" si="50"/>
        <v>58</v>
      </c>
      <c r="L110" s="148">
        <f t="shared" si="0"/>
        <v>47422</v>
      </c>
      <c r="M110" s="131">
        <f t="shared" si="51"/>
        <v>35000</v>
      </c>
      <c r="N110" s="131">
        <f t="shared" si="1"/>
        <v>641.66999999999996</v>
      </c>
      <c r="O110" s="131">
        <f t="shared" si="2"/>
        <v>0</v>
      </c>
      <c r="P110" s="131">
        <f t="shared" si="3"/>
        <v>0</v>
      </c>
      <c r="Q110" s="131">
        <f t="shared" si="4"/>
        <v>35000</v>
      </c>
      <c r="R110" s="131">
        <f t="shared" si="52"/>
        <v>12850</v>
      </c>
      <c r="S110" s="131">
        <f t="shared" si="5"/>
        <v>203.46</v>
      </c>
      <c r="T110" s="131">
        <f t="shared" si="6"/>
        <v>0</v>
      </c>
      <c r="U110" s="131">
        <f t="shared" si="7"/>
        <v>0</v>
      </c>
      <c r="V110" s="131">
        <f t="shared" si="8"/>
        <v>12850</v>
      </c>
      <c r="W110" s="131">
        <f t="shared" si="53"/>
        <v>0</v>
      </c>
      <c r="X110" s="131">
        <f t="shared" si="9"/>
        <v>0</v>
      </c>
      <c r="Y110" s="131">
        <f t="shared" si="10"/>
        <v>0</v>
      </c>
      <c r="Z110" s="131">
        <f t="shared" si="11"/>
        <v>0</v>
      </c>
      <c r="AA110" s="131">
        <f t="shared" si="12"/>
        <v>0</v>
      </c>
      <c r="AB110" s="131">
        <f t="shared" si="54"/>
        <v>115000</v>
      </c>
      <c r="AC110" s="131">
        <f t="shared" si="13"/>
        <v>575</v>
      </c>
      <c r="AD110" s="131">
        <f t="shared" si="14"/>
        <v>0</v>
      </c>
      <c r="AE110" s="131">
        <f t="shared" si="15"/>
        <v>0</v>
      </c>
      <c r="AF110" s="131">
        <f t="shared" si="16"/>
        <v>115000</v>
      </c>
      <c r="AG110" s="131">
        <f t="shared" si="55"/>
        <v>4104.71</v>
      </c>
      <c r="AH110" s="131">
        <f t="shared" si="17"/>
        <v>17.100000000000001</v>
      </c>
      <c r="AI110" s="131">
        <f t="shared" si="18"/>
        <v>32.9</v>
      </c>
      <c r="AJ110" s="131">
        <f t="shared" si="19"/>
        <v>210</v>
      </c>
      <c r="AK110" s="131">
        <f t="shared" si="20"/>
        <v>3861.81</v>
      </c>
      <c r="AL110" s="131">
        <f t="shared" si="56"/>
        <v>10633.8</v>
      </c>
      <c r="AM110" s="131">
        <f t="shared" si="21"/>
        <v>141.78</v>
      </c>
      <c r="AN110" s="131">
        <f t="shared" si="22"/>
        <v>248.22</v>
      </c>
      <c r="AO110" s="131">
        <f t="shared" si="23"/>
        <v>0</v>
      </c>
      <c r="AP110" s="131">
        <f t="shared" si="24"/>
        <v>10385.58</v>
      </c>
      <c r="AQ110" s="149">
        <f t="shared" si="57"/>
        <v>210</v>
      </c>
      <c r="AR110" s="149">
        <f t="shared" si="58"/>
        <v>98136.38</v>
      </c>
      <c r="AS110" s="133"/>
      <c r="AT110" s="132">
        <f t="shared" si="59"/>
        <v>58</v>
      </c>
      <c r="AU110" s="148">
        <f t="shared" si="25"/>
        <v>47422</v>
      </c>
      <c r="AV110" s="131">
        <f t="shared" si="60"/>
        <v>27650</v>
      </c>
      <c r="AW110" s="131">
        <f t="shared" si="26"/>
        <v>506.92</v>
      </c>
      <c r="AX110" s="131">
        <f t="shared" si="27"/>
        <v>0</v>
      </c>
      <c r="AY110" s="131">
        <f t="shared" si="28"/>
        <v>210</v>
      </c>
      <c r="AZ110" s="131">
        <f t="shared" si="29"/>
        <v>27440</v>
      </c>
      <c r="BA110" s="131">
        <f t="shared" si="61"/>
        <v>12850</v>
      </c>
      <c r="BB110" s="131">
        <f t="shared" si="30"/>
        <v>203.46</v>
      </c>
      <c r="BC110" s="131">
        <f t="shared" si="31"/>
        <v>0</v>
      </c>
      <c r="BD110" s="131">
        <f t="shared" si="32"/>
        <v>0</v>
      </c>
      <c r="BE110" s="131">
        <f t="shared" si="33"/>
        <v>12850</v>
      </c>
      <c r="BF110" s="131">
        <f t="shared" si="62"/>
        <v>0</v>
      </c>
      <c r="BG110" s="131">
        <f t="shared" si="34"/>
        <v>0</v>
      </c>
      <c r="BH110" s="131">
        <f t="shared" si="35"/>
        <v>0</v>
      </c>
      <c r="BI110" s="131">
        <f t="shared" si="36"/>
        <v>0</v>
      </c>
      <c r="BJ110" s="131">
        <f t="shared" si="37"/>
        <v>0</v>
      </c>
      <c r="BK110" s="131">
        <f t="shared" si="63"/>
        <v>115000</v>
      </c>
      <c r="BL110" s="131">
        <f t="shared" si="38"/>
        <v>575</v>
      </c>
      <c r="BM110" s="131">
        <f t="shared" si="39"/>
        <v>0</v>
      </c>
      <c r="BN110" s="131">
        <f t="shared" si="40"/>
        <v>0</v>
      </c>
      <c r="BO110" s="131">
        <f t="shared" si="41"/>
        <v>115000</v>
      </c>
      <c r="BP110" s="131">
        <f t="shared" si="64"/>
        <v>12000</v>
      </c>
      <c r="BQ110" s="131">
        <f t="shared" si="42"/>
        <v>50</v>
      </c>
      <c r="BR110" s="131">
        <f t="shared" si="43"/>
        <v>0</v>
      </c>
      <c r="BS110" s="131">
        <f t="shared" si="44"/>
        <v>0</v>
      </c>
      <c r="BT110" s="131">
        <f t="shared" si="45"/>
        <v>12000</v>
      </c>
      <c r="BU110" s="131">
        <f t="shared" si="65"/>
        <v>10633.8</v>
      </c>
      <c r="BV110" s="131">
        <f t="shared" si="46"/>
        <v>141.78</v>
      </c>
      <c r="BW110" s="131">
        <f t="shared" si="47"/>
        <v>248.22</v>
      </c>
      <c r="BX110" s="131">
        <f t="shared" si="48"/>
        <v>0</v>
      </c>
      <c r="BY110" s="131">
        <f t="shared" si="49"/>
        <v>10385.58</v>
      </c>
      <c r="BZ110" s="147">
        <f t="shared" si="66"/>
        <v>210</v>
      </c>
      <c r="CA110" s="147">
        <f t="shared" si="67"/>
        <v>96289.07</v>
      </c>
    </row>
    <row r="111" spans="11:79">
      <c r="K111" s="152">
        <f t="shared" si="50"/>
        <v>59</v>
      </c>
      <c r="L111" s="151">
        <f t="shared" si="0"/>
        <v>47452</v>
      </c>
      <c r="M111" s="150">
        <f t="shared" si="51"/>
        <v>35000</v>
      </c>
      <c r="N111" s="150">
        <f t="shared" si="1"/>
        <v>641.66999999999996</v>
      </c>
      <c r="O111" s="150">
        <f t="shared" si="2"/>
        <v>0</v>
      </c>
      <c r="P111" s="150">
        <f t="shared" si="3"/>
        <v>0</v>
      </c>
      <c r="Q111" s="150">
        <f t="shared" si="4"/>
        <v>35000</v>
      </c>
      <c r="R111" s="150">
        <f t="shared" si="52"/>
        <v>12850</v>
      </c>
      <c r="S111" s="150">
        <f t="shared" si="5"/>
        <v>203.46</v>
      </c>
      <c r="T111" s="150">
        <f t="shared" si="6"/>
        <v>0</v>
      </c>
      <c r="U111" s="150">
        <f t="shared" si="7"/>
        <v>0</v>
      </c>
      <c r="V111" s="150">
        <f t="shared" si="8"/>
        <v>12850</v>
      </c>
      <c r="W111" s="150">
        <f t="shared" si="53"/>
        <v>0</v>
      </c>
      <c r="X111" s="150">
        <f t="shared" si="9"/>
        <v>0</v>
      </c>
      <c r="Y111" s="150">
        <f t="shared" si="10"/>
        <v>0</v>
      </c>
      <c r="Z111" s="150">
        <f t="shared" si="11"/>
        <v>0</v>
      </c>
      <c r="AA111" s="150">
        <f t="shared" si="12"/>
        <v>0</v>
      </c>
      <c r="AB111" s="150">
        <f t="shared" si="54"/>
        <v>115000</v>
      </c>
      <c r="AC111" s="150">
        <f t="shared" si="13"/>
        <v>575</v>
      </c>
      <c r="AD111" s="150">
        <f t="shared" si="14"/>
        <v>0</v>
      </c>
      <c r="AE111" s="150">
        <f t="shared" si="15"/>
        <v>0</v>
      </c>
      <c r="AF111" s="150">
        <f t="shared" si="16"/>
        <v>115000</v>
      </c>
      <c r="AG111" s="150">
        <f t="shared" si="55"/>
        <v>3861.81</v>
      </c>
      <c r="AH111" s="150">
        <f t="shared" si="17"/>
        <v>16.09</v>
      </c>
      <c r="AI111" s="150">
        <f t="shared" si="18"/>
        <v>33.909999999999997</v>
      </c>
      <c r="AJ111" s="150">
        <f t="shared" si="19"/>
        <v>210</v>
      </c>
      <c r="AK111" s="150">
        <f t="shared" si="20"/>
        <v>3617.9</v>
      </c>
      <c r="AL111" s="150">
        <f t="shared" si="56"/>
        <v>10385.58</v>
      </c>
      <c r="AM111" s="150">
        <f t="shared" si="21"/>
        <v>138.47</v>
      </c>
      <c r="AN111" s="150">
        <f t="shared" si="22"/>
        <v>251.53</v>
      </c>
      <c r="AO111" s="150">
        <f t="shared" si="23"/>
        <v>0</v>
      </c>
      <c r="AP111" s="150">
        <f t="shared" si="24"/>
        <v>10134.049999999999</v>
      </c>
      <c r="AQ111" s="149">
        <f t="shared" si="57"/>
        <v>210</v>
      </c>
      <c r="AR111" s="149">
        <f t="shared" si="58"/>
        <v>99711.07</v>
      </c>
      <c r="AS111" s="133"/>
      <c r="AT111" s="152">
        <f t="shared" si="59"/>
        <v>59</v>
      </c>
      <c r="AU111" s="151">
        <f t="shared" si="25"/>
        <v>47452</v>
      </c>
      <c r="AV111" s="150">
        <f t="shared" si="60"/>
        <v>27440</v>
      </c>
      <c r="AW111" s="150">
        <f t="shared" si="26"/>
        <v>503.07</v>
      </c>
      <c r="AX111" s="150">
        <f t="shared" si="27"/>
        <v>0</v>
      </c>
      <c r="AY111" s="150">
        <f t="shared" si="28"/>
        <v>210</v>
      </c>
      <c r="AZ111" s="150">
        <f t="shared" si="29"/>
        <v>27230</v>
      </c>
      <c r="BA111" s="150">
        <f t="shared" si="61"/>
        <v>12850</v>
      </c>
      <c r="BB111" s="150">
        <f t="shared" si="30"/>
        <v>203.46</v>
      </c>
      <c r="BC111" s="150">
        <f t="shared" si="31"/>
        <v>0</v>
      </c>
      <c r="BD111" s="150">
        <f t="shared" si="32"/>
        <v>0</v>
      </c>
      <c r="BE111" s="150">
        <f t="shared" si="33"/>
        <v>12850</v>
      </c>
      <c r="BF111" s="150">
        <f t="shared" si="62"/>
        <v>0</v>
      </c>
      <c r="BG111" s="150">
        <f t="shared" si="34"/>
        <v>0</v>
      </c>
      <c r="BH111" s="150">
        <f t="shared" si="35"/>
        <v>0</v>
      </c>
      <c r="BI111" s="150">
        <f t="shared" si="36"/>
        <v>0</v>
      </c>
      <c r="BJ111" s="150">
        <f t="shared" si="37"/>
        <v>0</v>
      </c>
      <c r="BK111" s="150">
        <f t="shared" si="63"/>
        <v>115000</v>
      </c>
      <c r="BL111" s="150">
        <f t="shared" si="38"/>
        <v>575</v>
      </c>
      <c r="BM111" s="150">
        <f t="shared" si="39"/>
        <v>0</v>
      </c>
      <c r="BN111" s="150">
        <f t="shared" si="40"/>
        <v>0</v>
      </c>
      <c r="BO111" s="150">
        <f t="shared" si="41"/>
        <v>115000</v>
      </c>
      <c r="BP111" s="150">
        <f t="shared" si="64"/>
        <v>12000</v>
      </c>
      <c r="BQ111" s="150">
        <f t="shared" si="42"/>
        <v>50</v>
      </c>
      <c r="BR111" s="150">
        <f t="shared" si="43"/>
        <v>0</v>
      </c>
      <c r="BS111" s="150">
        <f t="shared" si="44"/>
        <v>0</v>
      </c>
      <c r="BT111" s="150">
        <f t="shared" si="45"/>
        <v>12000</v>
      </c>
      <c r="BU111" s="150">
        <f t="shared" si="65"/>
        <v>10385.58</v>
      </c>
      <c r="BV111" s="150">
        <f t="shared" si="46"/>
        <v>138.47</v>
      </c>
      <c r="BW111" s="150">
        <f t="shared" si="47"/>
        <v>251.53</v>
      </c>
      <c r="BX111" s="150">
        <f t="shared" si="48"/>
        <v>0</v>
      </c>
      <c r="BY111" s="150">
        <f t="shared" si="49"/>
        <v>10134.049999999999</v>
      </c>
      <c r="BZ111" s="147">
        <f t="shared" si="66"/>
        <v>210</v>
      </c>
      <c r="CA111" s="147">
        <f t="shared" si="67"/>
        <v>97759.07</v>
      </c>
    </row>
    <row r="112" spans="11:79">
      <c r="K112" s="132">
        <f t="shared" si="50"/>
        <v>60</v>
      </c>
      <c r="L112" s="148">
        <f t="shared" si="0"/>
        <v>47483</v>
      </c>
      <c r="M112" s="131">
        <f t="shared" si="51"/>
        <v>35000</v>
      </c>
      <c r="N112" s="131">
        <f t="shared" si="1"/>
        <v>641.66999999999996</v>
      </c>
      <c r="O112" s="131">
        <f t="shared" si="2"/>
        <v>0</v>
      </c>
      <c r="P112" s="131">
        <f t="shared" si="3"/>
        <v>0</v>
      </c>
      <c r="Q112" s="131">
        <f t="shared" si="4"/>
        <v>35000</v>
      </c>
      <c r="R112" s="131">
        <f t="shared" si="52"/>
        <v>12850</v>
      </c>
      <c r="S112" s="131">
        <f t="shared" si="5"/>
        <v>203.46</v>
      </c>
      <c r="T112" s="131">
        <f t="shared" si="6"/>
        <v>0</v>
      </c>
      <c r="U112" s="131">
        <f t="shared" si="7"/>
        <v>0</v>
      </c>
      <c r="V112" s="131">
        <f t="shared" si="8"/>
        <v>12850</v>
      </c>
      <c r="W112" s="131">
        <f t="shared" si="53"/>
        <v>0</v>
      </c>
      <c r="X112" s="131">
        <f t="shared" si="9"/>
        <v>0</v>
      </c>
      <c r="Y112" s="131">
        <f t="shared" si="10"/>
        <v>0</v>
      </c>
      <c r="Z112" s="131">
        <f t="shared" si="11"/>
        <v>0</v>
      </c>
      <c r="AA112" s="131">
        <f t="shared" si="12"/>
        <v>0</v>
      </c>
      <c r="AB112" s="131">
        <f t="shared" si="54"/>
        <v>115000</v>
      </c>
      <c r="AC112" s="131">
        <f t="shared" si="13"/>
        <v>575</v>
      </c>
      <c r="AD112" s="131">
        <f t="shared" si="14"/>
        <v>0</v>
      </c>
      <c r="AE112" s="131">
        <f t="shared" si="15"/>
        <v>0</v>
      </c>
      <c r="AF112" s="131">
        <f t="shared" si="16"/>
        <v>115000</v>
      </c>
      <c r="AG112" s="131">
        <f t="shared" si="55"/>
        <v>3617.9</v>
      </c>
      <c r="AH112" s="131">
        <f t="shared" si="17"/>
        <v>15.07</v>
      </c>
      <c r="AI112" s="131">
        <f t="shared" si="18"/>
        <v>34.93</v>
      </c>
      <c r="AJ112" s="131">
        <f t="shared" si="19"/>
        <v>210</v>
      </c>
      <c r="AK112" s="131">
        <f t="shared" si="20"/>
        <v>3372.97</v>
      </c>
      <c r="AL112" s="131">
        <f t="shared" si="56"/>
        <v>10134.049999999999</v>
      </c>
      <c r="AM112" s="131">
        <f t="shared" si="21"/>
        <v>135.12</v>
      </c>
      <c r="AN112" s="131">
        <f t="shared" si="22"/>
        <v>254.88</v>
      </c>
      <c r="AO112" s="131">
        <f t="shared" si="23"/>
        <v>0</v>
      </c>
      <c r="AP112" s="131">
        <f t="shared" si="24"/>
        <v>9879.17</v>
      </c>
      <c r="AQ112" s="149">
        <f t="shared" si="57"/>
        <v>210</v>
      </c>
      <c r="AR112" s="149">
        <f t="shared" si="58"/>
        <v>101281.39000000001</v>
      </c>
      <c r="AS112" s="133"/>
      <c r="AT112" s="132">
        <f t="shared" si="59"/>
        <v>60</v>
      </c>
      <c r="AU112" s="148">
        <f t="shared" si="25"/>
        <v>47483</v>
      </c>
      <c r="AV112" s="131">
        <f t="shared" si="60"/>
        <v>27230</v>
      </c>
      <c r="AW112" s="131">
        <f t="shared" si="26"/>
        <v>499.22</v>
      </c>
      <c r="AX112" s="131">
        <f t="shared" si="27"/>
        <v>0</v>
      </c>
      <c r="AY112" s="131">
        <f t="shared" si="28"/>
        <v>210</v>
      </c>
      <c r="AZ112" s="131">
        <f t="shared" si="29"/>
        <v>27020</v>
      </c>
      <c r="BA112" s="131">
        <f t="shared" si="61"/>
        <v>12850</v>
      </c>
      <c r="BB112" s="131">
        <f t="shared" si="30"/>
        <v>203.46</v>
      </c>
      <c r="BC112" s="131">
        <f t="shared" si="31"/>
        <v>0</v>
      </c>
      <c r="BD112" s="131">
        <f t="shared" si="32"/>
        <v>0</v>
      </c>
      <c r="BE112" s="131">
        <f t="shared" si="33"/>
        <v>12850</v>
      </c>
      <c r="BF112" s="131">
        <f t="shared" si="62"/>
        <v>0</v>
      </c>
      <c r="BG112" s="131">
        <f t="shared" si="34"/>
        <v>0</v>
      </c>
      <c r="BH112" s="131">
        <f t="shared" si="35"/>
        <v>0</v>
      </c>
      <c r="BI112" s="131">
        <f t="shared" si="36"/>
        <v>0</v>
      </c>
      <c r="BJ112" s="131">
        <f t="shared" si="37"/>
        <v>0</v>
      </c>
      <c r="BK112" s="131">
        <f t="shared" si="63"/>
        <v>115000</v>
      </c>
      <c r="BL112" s="131">
        <f t="shared" si="38"/>
        <v>575</v>
      </c>
      <c r="BM112" s="131">
        <f t="shared" si="39"/>
        <v>0</v>
      </c>
      <c r="BN112" s="131">
        <f t="shared" si="40"/>
        <v>0</v>
      </c>
      <c r="BO112" s="131">
        <f t="shared" si="41"/>
        <v>115000</v>
      </c>
      <c r="BP112" s="131">
        <f t="shared" si="64"/>
        <v>12000</v>
      </c>
      <c r="BQ112" s="131">
        <f t="shared" si="42"/>
        <v>50</v>
      </c>
      <c r="BR112" s="131">
        <f t="shared" si="43"/>
        <v>0</v>
      </c>
      <c r="BS112" s="131">
        <f t="shared" si="44"/>
        <v>0</v>
      </c>
      <c r="BT112" s="131">
        <f t="shared" si="45"/>
        <v>12000</v>
      </c>
      <c r="BU112" s="131">
        <f t="shared" si="65"/>
        <v>10134.049999999999</v>
      </c>
      <c r="BV112" s="131">
        <f t="shared" si="46"/>
        <v>135.12</v>
      </c>
      <c r="BW112" s="131">
        <f t="shared" si="47"/>
        <v>254.88</v>
      </c>
      <c r="BX112" s="131">
        <f t="shared" si="48"/>
        <v>0</v>
      </c>
      <c r="BY112" s="131">
        <f t="shared" si="49"/>
        <v>9879.17</v>
      </c>
      <c r="BZ112" s="147">
        <f t="shared" si="66"/>
        <v>210</v>
      </c>
      <c r="CA112" s="147">
        <f t="shared" si="67"/>
        <v>99221.87000000001</v>
      </c>
    </row>
    <row r="113" spans="11:79">
      <c r="K113" s="152">
        <f t="shared" si="50"/>
        <v>61</v>
      </c>
      <c r="L113" s="151">
        <f t="shared" si="0"/>
        <v>47514</v>
      </c>
      <c r="M113" s="150">
        <f t="shared" si="51"/>
        <v>35000</v>
      </c>
      <c r="N113" s="150">
        <f t="shared" si="1"/>
        <v>641.66999999999996</v>
      </c>
      <c r="O113" s="150">
        <f t="shared" si="2"/>
        <v>0</v>
      </c>
      <c r="P113" s="150">
        <f t="shared" si="3"/>
        <v>0</v>
      </c>
      <c r="Q113" s="150">
        <f t="shared" si="4"/>
        <v>35000</v>
      </c>
      <c r="R113" s="150">
        <f t="shared" si="52"/>
        <v>12850</v>
      </c>
      <c r="S113" s="150">
        <f t="shared" si="5"/>
        <v>203.46</v>
      </c>
      <c r="T113" s="150">
        <f t="shared" si="6"/>
        <v>0</v>
      </c>
      <c r="U113" s="150">
        <f t="shared" si="7"/>
        <v>0</v>
      </c>
      <c r="V113" s="150">
        <f t="shared" si="8"/>
        <v>12850</v>
      </c>
      <c r="W113" s="150">
        <f t="shared" si="53"/>
        <v>0</v>
      </c>
      <c r="X113" s="150">
        <f t="shared" si="9"/>
        <v>0</v>
      </c>
      <c r="Y113" s="150">
        <f t="shared" si="10"/>
        <v>0</v>
      </c>
      <c r="Z113" s="150">
        <f t="shared" si="11"/>
        <v>0</v>
      </c>
      <c r="AA113" s="150">
        <f t="shared" si="12"/>
        <v>0</v>
      </c>
      <c r="AB113" s="150">
        <f t="shared" si="54"/>
        <v>115000</v>
      </c>
      <c r="AC113" s="150">
        <f t="shared" si="13"/>
        <v>575</v>
      </c>
      <c r="AD113" s="150">
        <f t="shared" si="14"/>
        <v>0</v>
      </c>
      <c r="AE113" s="150">
        <f t="shared" si="15"/>
        <v>0</v>
      </c>
      <c r="AF113" s="150">
        <f t="shared" si="16"/>
        <v>115000</v>
      </c>
      <c r="AG113" s="150">
        <f t="shared" si="55"/>
        <v>3372.97</v>
      </c>
      <c r="AH113" s="150">
        <f t="shared" si="17"/>
        <v>14.05</v>
      </c>
      <c r="AI113" s="150">
        <f t="shared" si="18"/>
        <v>35.950000000000003</v>
      </c>
      <c r="AJ113" s="150">
        <f t="shared" si="19"/>
        <v>210</v>
      </c>
      <c r="AK113" s="150">
        <f t="shared" si="20"/>
        <v>3127.02</v>
      </c>
      <c r="AL113" s="150">
        <f t="shared" si="56"/>
        <v>9879.17</v>
      </c>
      <c r="AM113" s="150">
        <f t="shared" si="21"/>
        <v>131.72</v>
      </c>
      <c r="AN113" s="150">
        <f t="shared" si="22"/>
        <v>258.27999999999997</v>
      </c>
      <c r="AO113" s="150">
        <f t="shared" si="23"/>
        <v>0</v>
      </c>
      <c r="AP113" s="150">
        <f t="shared" si="24"/>
        <v>9620.89</v>
      </c>
      <c r="AQ113" s="149">
        <f t="shared" si="57"/>
        <v>210</v>
      </c>
      <c r="AR113" s="149">
        <f t="shared" si="58"/>
        <v>102847.29000000001</v>
      </c>
      <c r="AS113" s="133"/>
      <c r="AT113" s="152">
        <f t="shared" si="59"/>
        <v>61</v>
      </c>
      <c r="AU113" s="151">
        <f t="shared" si="25"/>
        <v>47514</v>
      </c>
      <c r="AV113" s="150">
        <f t="shared" si="60"/>
        <v>27020</v>
      </c>
      <c r="AW113" s="150">
        <f t="shared" si="26"/>
        <v>495.37</v>
      </c>
      <c r="AX113" s="150">
        <f t="shared" si="27"/>
        <v>0</v>
      </c>
      <c r="AY113" s="150">
        <f t="shared" si="28"/>
        <v>210</v>
      </c>
      <c r="AZ113" s="150">
        <f t="shared" si="29"/>
        <v>26810</v>
      </c>
      <c r="BA113" s="150">
        <f t="shared" si="61"/>
        <v>12850</v>
      </c>
      <c r="BB113" s="150">
        <f t="shared" si="30"/>
        <v>203.46</v>
      </c>
      <c r="BC113" s="150">
        <f t="shared" si="31"/>
        <v>0</v>
      </c>
      <c r="BD113" s="150">
        <f t="shared" si="32"/>
        <v>0</v>
      </c>
      <c r="BE113" s="150">
        <f t="shared" si="33"/>
        <v>12850</v>
      </c>
      <c r="BF113" s="150">
        <f t="shared" si="62"/>
        <v>0</v>
      </c>
      <c r="BG113" s="150">
        <f t="shared" si="34"/>
        <v>0</v>
      </c>
      <c r="BH113" s="150">
        <f t="shared" si="35"/>
        <v>0</v>
      </c>
      <c r="BI113" s="150">
        <f t="shared" si="36"/>
        <v>0</v>
      </c>
      <c r="BJ113" s="150">
        <f t="shared" si="37"/>
        <v>0</v>
      </c>
      <c r="BK113" s="150">
        <f t="shared" si="63"/>
        <v>115000</v>
      </c>
      <c r="BL113" s="150">
        <f t="shared" si="38"/>
        <v>575</v>
      </c>
      <c r="BM113" s="150">
        <f t="shared" si="39"/>
        <v>0</v>
      </c>
      <c r="BN113" s="150">
        <f t="shared" si="40"/>
        <v>0</v>
      </c>
      <c r="BO113" s="150">
        <f t="shared" si="41"/>
        <v>115000</v>
      </c>
      <c r="BP113" s="150">
        <f t="shared" si="64"/>
        <v>12000</v>
      </c>
      <c r="BQ113" s="150">
        <f t="shared" si="42"/>
        <v>50</v>
      </c>
      <c r="BR113" s="150">
        <f t="shared" si="43"/>
        <v>0</v>
      </c>
      <c r="BS113" s="150">
        <f t="shared" si="44"/>
        <v>0</v>
      </c>
      <c r="BT113" s="150">
        <f t="shared" si="45"/>
        <v>12000</v>
      </c>
      <c r="BU113" s="150">
        <f t="shared" si="65"/>
        <v>9879.17</v>
      </c>
      <c r="BV113" s="150">
        <f t="shared" si="46"/>
        <v>131.72</v>
      </c>
      <c r="BW113" s="150">
        <f t="shared" si="47"/>
        <v>258.27999999999997</v>
      </c>
      <c r="BX113" s="150">
        <f t="shared" si="48"/>
        <v>0</v>
      </c>
      <c r="BY113" s="150">
        <f t="shared" si="49"/>
        <v>9620.89</v>
      </c>
      <c r="BZ113" s="147">
        <f t="shared" si="66"/>
        <v>210</v>
      </c>
      <c r="CA113" s="147">
        <f t="shared" si="67"/>
        <v>100677.42000000001</v>
      </c>
    </row>
    <row r="114" spans="11:79">
      <c r="K114" s="132">
        <f t="shared" si="50"/>
        <v>62</v>
      </c>
      <c r="L114" s="148">
        <f t="shared" si="0"/>
        <v>47542</v>
      </c>
      <c r="M114" s="131">
        <f t="shared" si="51"/>
        <v>35000</v>
      </c>
      <c r="N114" s="131">
        <f t="shared" si="1"/>
        <v>641.66999999999996</v>
      </c>
      <c r="O114" s="131">
        <f t="shared" si="2"/>
        <v>0</v>
      </c>
      <c r="P114" s="131">
        <f t="shared" si="3"/>
        <v>0</v>
      </c>
      <c r="Q114" s="131">
        <f t="shared" si="4"/>
        <v>35000</v>
      </c>
      <c r="R114" s="131">
        <f t="shared" si="52"/>
        <v>12850</v>
      </c>
      <c r="S114" s="131">
        <f t="shared" si="5"/>
        <v>203.46</v>
      </c>
      <c r="T114" s="131">
        <f t="shared" si="6"/>
        <v>0</v>
      </c>
      <c r="U114" s="131">
        <f t="shared" si="7"/>
        <v>0</v>
      </c>
      <c r="V114" s="131">
        <f t="shared" si="8"/>
        <v>12850</v>
      </c>
      <c r="W114" s="131">
        <f t="shared" si="53"/>
        <v>0</v>
      </c>
      <c r="X114" s="131">
        <f t="shared" si="9"/>
        <v>0</v>
      </c>
      <c r="Y114" s="131">
        <f t="shared" si="10"/>
        <v>0</v>
      </c>
      <c r="Z114" s="131">
        <f t="shared" si="11"/>
        <v>0</v>
      </c>
      <c r="AA114" s="131">
        <f t="shared" si="12"/>
        <v>0</v>
      </c>
      <c r="AB114" s="131">
        <f t="shared" si="54"/>
        <v>115000</v>
      </c>
      <c r="AC114" s="131">
        <f t="shared" si="13"/>
        <v>575</v>
      </c>
      <c r="AD114" s="131">
        <f t="shared" si="14"/>
        <v>0</v>
      </c>
      <c r="AE114" s="131">
        <f t="shared" si="15"/>
        <v>0</v>
      </c>
      <c r="AF114" s="131">
        <f t="shared" si="16"/>
        <v>115000</v>
      </c>
      <c r="AG114" s="131">
        <f t="shared" si="55"/>
        <v>3127.02</v>
      </c>
      <c r="AH114" s="131">
        <f t="shared" si="17"/>
        <v>13.03</v>
      </c>
      <c r="AI114" s="131">
        <f t="shared" si="18"/>
        <v>36.97</v>
      </c>
      <c r="AJ114" s="131">
        <f t="shared" si="19"/>
        <v>210</v>
      </c>
      <c r="AK114" s="131">
        <f t="shared" si="20"/>
        <v>2880.05</v>
      </c>
      <c r="AL114" s="131">
        <f t="shared" si="56"/>
        <v>9620.89</v>
      </c>
      <c r="AM114" s="131">
        <f t="shared" si="21"/>
        <v>128.28</v>
      </c>
      <c r="AN114" s="131">
        <f t="shared" si="22"/>
        <v>261.72000000000003</v>
      </c>
      <c r="AO114" s="131">
        <f t="shared" si="23"/>
        <v>0</v>
      </c>
      <c r="AP114" s="131">
        <f t="shared" si="24"/>
        <v>9359.17</v>
      </c>
      <c r="AQ114" s="149">
        <f t="shared" si="57"/>
        <v>210</v>
      </c>
      <c r="AR114" s="149">
        <f t="shared" si="58"/>
        <v>104408.73000000001</v>
      </c>
      <c r="AS114" s="133"/>
      <c r="AT114" s="132">
        <f t="shared" si="59"/>
        <v>62</v>
      </c>
      <c r="AU114" s="148">
        <f t="shared" si="25"/>
        <v>47542</v>
      </c>
      <c r="AV114" s="131">
        <f t="shared" si="60"/>
        <v>26810</v>
      </c>
      <c r="AW114" s="131">
        <f t="shared" si="26"/>
        <v>491.52</v>
      </c>
      <c r="AX114" s="131">
        <f t="shared" si="27"/>
        <v>0</v>
      </c>
      <c r="AY114" s="131">
        <f t="shared" si="28"/>
        <v>210</v>
      </c>
      <c r="AZ114" s="131">
        <f t="shared" si="29"/>
        <v>26600</v>
      </c>
      <c r="BA114" s="131">
        <f t="shared" si="61"/>
        <v>12850</v>
      </c>
      <c r="BB114" s="131">
        <f t="shared" si="30"/>
        <v>203.46</v>
      </c>
      <c r="BC114" s="131">
        <f t="shared" si="31"/>
        <v>0</v>
      </c>
      <c r="BD114" s="131">
        <f t="shared" si="32"/>
        <v>0</v>
      </c>
      <c r="BE114" s="131">
        <f t="shared" si="33"/>
        <v>12850</v>
      </c>
      <c r="BF114" s="131">
        <f t="shared" si="62"/>
        <v>0</v>
      </c>
      <c r="BG114" s="131">
        <f t="shared" si="34"/>
        <v>0</v>
      </c>
      <c r="BH114" s="131">
        <f t="shared" si="35"/>
        <v>0</v>
      </c>
      <c r="BI114" s="131">
        <f t="shared" si="36"/>
        <v>0</v>
      </c>
      <c r="BJ114" s="131">
        <f t="shared" si="37"/>
        <v>0</v>
      </c>
      <c r="BK114" s="131">
        <f t="shared" si="63"/>
        <v>115000</v>
      </c>
      <c r="BL114" s="131">
        <f t="shared" si="38"/>
        <v>575</v>
      </c>
      <c r="BM114" s="131">
        <f t="shared" si="39"/>
        <v>0</v>
      </c>
      <c r="BN114" s="131">
        <f t="shared" si="40"/>
        <v>0</v>
      </c>
      <c r="BO114" s="131">
        <f t="shared" si="41"/>
        <v>115000</v>
      </c>
      <c r="BP114" s="131">
        <f t="shared" si="64"/>
        <v>12000</v>
      </c>
      <c r="BQ114" s="131">
        <f t="shared" si="42"/>
        <v>50</v>
      </c>
      <c r="BR114" s="131">
        <f t="shared" si="43"/>
        <v>0</v>
      </c>
      <c r="BS114" s="131">
        <f t="shared" si="44"/>
        <v>0</v>
      </c>
      <c r="BT114" s="131">
        <f t="shared" si="45"/>
        <v>12000</v>
      </c>
      <c r="BU114" s="131">
        <f t="shared" si="65"/>
        <v>9620.89</v>
      </c>
      <c r="BV114" s="131">
        <f t="shared" si="46"/>
        <v>128.28</v>
      </c>
      <c r="BW114" s="131">
        <f t="shared" si="47"/>
        <v>261.72000000000003</v>
      </c>
      <c r="BX114" s="131">
        <f t="shared" si="48"/>
        <v>0</v>
      </c>
      <c r="BY114" s="131">
        <f t="shared" si="49"/>
        <v>9359.17</v>
      </c>
      <c r="BZ114" s="147">
        <f t="shared" si="66"/>
        <v>210</v>
      </c>
      <c r="CA114" s="147">
        <f t="shared" si="67"/>
        <v>102125.68000000001</v>
      </c>
    </row>
    <row r="115" spans="11:79">
      <c r="K115" s="152">
        <f t="shared" si="50"/>
        <v>63</v>
      </c>
      <c r="L115" s="151">
        <f t="shared" si="0"/>
        <v>47573</v>
      </c>
      <c r="M115" s="150">
        <f t="shared" si="51"/>
        <v>35000</v>
      </c>
      <c r="N115" s="150">
        <f t="shared" si="1"/>
        <v>641.66999999999996</v>
      </c>
      <c r="O115" s="150">
        <f t="shared" si="2"/>
        <v>0</v>
      </c>
      <c r="P115" s="150">
        <f t="shared" si="3"/>
        <v>0</v>
      </c>
      <c r="Q115" s="150">
        <f t="shared" si="4"/>
        <v>35000</v>
      </c>
      <c r="R115" s="150">
        <f t="shared" si="52"/>
        <v>12850</v>
      </c>
      <c r="S115" s="150">
        <f t="shared" si="5"/>
        <v>203.46</v>
      </c>
      <c r="T115" s="150">
        <f t="shared" si="6"/>
        <v>0</v>
      </c>
      <c r="U115" s="150">
        <f t="shared" si="7"/>
        <v>0</v>
      </c>
      <c r="V115" s="150">
        <f t="shared" si="8"/>
        <v>12850</v>
      </c>
      <c r="W115" s="150">
        <f t="shared" si="53"/>
        <v>0</v>
      </c>
      <c r="X115" s="150">
        <f t="shared" si="9"/>
        <v>0</v>
      </c>
      <c r="Y115" s="150">
        <f t="shared" si="10"/>
        <v>0</v>
      </c>
      <c r="Z115" s="150">
        <f t="shared" si="11"/>
        <v>0</v>
      </c>
      <c r="AA115" s="150">
        <f t="shared" si="12"/>
        <v>0</v>
      </c>
      <c r="AB115" s="150">
        <f t="shared" si="54"/>
        <v>115000</v>
      </c>
      <c r="AC115" s="150">
        <f t="shared" si="13"/>
        <v>575</v>
      </c>
      <c r="AD115" s="150">
        <f t="shared" si="14"/>
        <v>0</v>
      </c>
      <c r="AE115" s="150">
        <f t="shared" si="15"/>
        <v>0</v>
      </c>
      <c r="AF115" s="150">
        <f t="shared" si="16"/>
        <v>115000</v>
      </c>
      <c r="AG115" s="150">
        <f t="shared" si="55"/>
        <v>2880.05</v>
      </c>
      <c r="AH115" s="150">
        <f t="shared" si="17"/>
        <v>12</v>
      </c>
      <c r="AI115" s="150">
        <f t="shared" si="18"/>
        <v>38</v>
      </c>
      <c r="AJ115" s="150">
        <f t="shared" si="19"/>
        <v>210</v>
      </c>
      <c r="AK115" s="150">
        <f t="shared" si="20"/>
        <v>2632.05</v>
      </c>
      <c r="AL115" s="150">
        <f t="shared" si="56"/>
        <v>9359.17</v>
      </c>
      <c r="AM115" s="150">
        <f t="shared" si="21"/>
        <v>124.79</v>
      </c>
      <c r="AN115" s="150">
        <f t="shared" si="22"/>
        <v>265.20999999999998</v>
      </c>
      <c r="AO115" s="150">
        <f t="shared" si="23"/>
        <v>0</v>
      </c>
      <c r="AP115" s="150">
        <f t="shared" si="24"/>
        <v>9093.9599999999991</v>
      </c>
      <c r="AQ115" s="149">
        <f t="shared" si="57"/>
        <v>210</v>
      </c>
      <c r="AR115" s="149">
        <f t="shared" si="58"/>
        <v>105965.65000000001</v>
      </c>
      <c r="AS115" s="133"/>
      <c r="AT115" s="152">
        <f t="shared" si="59"/>
        <v>63</v>
      </c>
      <c r="AU115" s="151">
        <f t="shared" si="25"/>
        <v>47573</v>
      </c>
      <c r="AV115" s="150">
        <f t="shared" si="60"/>
        <v>26600</v>
      </c>
      <c r="AW115" s="150">
        <f t="shared" si="26"/>
        <v>487.67</v>
      </c>
      <c r="AX115" s="150">
        <f t="shared" si="27"/>
        <v>0</v>
      </c>
      <c r="AY115" s="150">
        <f t="shared" si="28"/>
        <v>210</v>
      </c>
      <c r="AZ115" s="150">
        <f t="shared" si="29"/>
        <v>26390</v>
      </c>
      <c r="BA115" s="150">
        <f t="shared" si="61"/>
        <v>12850</v>
      </c>
      <c r="BB115" s="150">
        <f t="shared" si="30"/>
        <v>203.46</v>
      </c>
      <c r="BC115" s="150">
        <f t="shared" si="31"/>
        <v>0</v>
      </c>
      <c r="BD115" s="150">
        <f t="shared" si="32"/>
        <v>0</v>
      </c>
      <c r="BE115" s="150">
        <f t="shared" si="33"/>
        <v>12850</v>
      </c>
      <c r="BF115" s="150">
        <f t="shared" si="62"/>
        <v>0</v>
      </c>
      <c r="BG115" s="150">
        <f t="shared" si="34"/>
        <v>0</v>
      </c>
      <c r="BH115" s="150">
        <f t="shared" si="35"/>
        <v>0</v>
      </c>
      <c r="BI115" s="150">
        <f t="shared" si="36"/>
        <v>0</v>
      </c>
      <c r="BJ115" s="150">
        <f t="shared" si="37"/>
        <v>0</v>
      </c>
      <c r="BK115" s="150">
        <f t="shared" si="63"/>
        <v>115000</v>
      </c>
      <c r="BL115" s="150">
        <f t="shared" si="38"/>
        <v>575</v>
      </c>
      <c r="BM115" s="150">
        <f t="shared" si="39"/>
        <v>0</v>
      </c>
      <c r="BN115" s="150">
        <f t="shared" si="40"/>
        <v>0</v>
      </c>
      <c r="BO115" s="150">
        <f t="shared" si="41"/>
        <v>115000</v>
      </c>
      <c r="BP115" s="150">
        <f t="shared" si="64"/>
        <v>12000</v>
      </c>
      <c r="BQ115" s="150">
        <f t="shared" si="42"/>
        <v>50</v>
      </c>
      <c r="BR115" s="150">
        <f t="shared" si="43"/>
        <v>0</v>
      </c>
      <c r="BS115" s="150">
        <f t="shared" si="44"/>
        <v>0</v>
      </c>
      <c r="BT115" s="150">
        <f t="shared" si="45"/>
        <v>12000</v>
      </c>
      <c r="BU115" s="150">
        <f t="shared" si="65"/>
        <v>9359.17</v>
      </c>
      <c r="BV115" s="150">
        <f t="shared" si="46"/>
        <v>124.79</v>
      </c>
      <c r="BW115" s="150">
        <f t="shared" si="47"/>
        <v>265.20999999999998</v>
      </c>
      <c r="BX115" s="150">
        <f t="shared" si="48"/>
        <v>0</v>
      </c>
      <c r="BY115" s="150">
        <f t="shared" si="49"/>
        <v>9093.9599999999991</v>
      </c>
      <c r="BZ115" s="147">
        <f t="shared" si="66"/>
        <v>210</v>
      </c>
      <c r="CA115" s="147">
        <f t="shared" si="67"/>
        <v>103566.6</v>
      </c>
    </row>
    <row r="116" spans="11:79">
      <c r="K116" s="132">
        <f t="shared" si="50"/>
        <v>64</v>
      </c>
      <c r="L116" s="148">
        <f t="shared" si="0"/>
        <v>47603</v>
      </c>
      <c r="M116" s="131">
        <f t="shared" si="51"/>
        <v>35000</v>
      </c>
      <c r="N116" s="131">
        <f t="shared" si="1"/>
        <v>641.66999999999996</v>
      </c>
      <c r="O116" s="131">
        <f t="shared" si="2"/>
        <v>0</v>
      </c>
      <c r="P116" s="131">
        <f t="shared" si="3"/>
        <v>0</v>
      </c>
      <c r="Q116" s="131">
        <f t="shared" si="4"/>
        <v>35000</v>
      </c>
      <c r="R116" s="131">
        <f t="shared" si="52"/>
        <v>12850</v>
      </c>
      <c r="S116" s="131">
        <f t="shared" si="5"/>
        <v>203.46</v>
      </c>
      <c r="T116" s="131">
        <f t="shared" si="6"/>
        <v>0</v>
      </c>
      <c r="U116" s="131">
        <f t="shared" si="7"/>
        <v>0</v>
      </c>
      <c r="V116" s="131">
        <f t="shared" si="8"/>
        <v>12850</v>
      </c>
      <c r="W116" s="131">
        <f t="shared" si="53"/>
        <v>0</v>
      </c>
      <c r="X116" s="131">
        <f t="shared" si="9"/>
        <v>0</v>
      </c>
      <c r="Y116" s="131">
        <f t="shared" si="10"/>
        <v>0</v>
      </c>
      <c r="Z116" s="131">
        <f t="shared" si="11"/>
        <v>0</v>
      </c>
      <c r="AA116" s="131">
        <f t="shared" si="12"/>
        <v>0</v>
      </c>
      <c r="AB116" s="131">
        <f t="shared" si="54"/>
        <v>115000</v>
      </c>
      <c r="AC116" s="131">
        <f t="shared" si="13"/>
        <v>575</v>
      </c>
      <c r="AD116" s="131">
        <f t="shared" si="14"/>
        <v>0</v>
      </c>
      <c r="AE116" s="131">
        <f t="shared" si="15"/>
        <v>0</v>
      </c>
      <c r="AF116" s="131">
        <f t="shared" si="16"/>
        <v>115000</v>
      </c>
      <c r="AG116" s="131">
        <f t="shared" si="55"/>
        <v>2632.05</v>
      </c>
      <c r="AH116" s="131">
        <f t="shared" si="17"/>
        <v>10.97</v>
      </c>
      <c r="AI116" s="131">
        <f t="shared" si="18"/>
        <v>39.03</v>
      </c>
      <c r="AJ116" s="131">
        <f t="shared" si="19"/>
        <v>210</v>
      </c>
      <c r="AK116" s="131">
        <f t="shared" si="20"/>
        <v>2383.02</v>
      </c>
      <c r="AL116" s="131">
        <f t="shared" si="56"/>
        <v>9093.9599999999991</v>
      </c>
      <c r="AM116" s="131">
        <f t="shared" si="21"/>
        <v>121.25</v>
      </c>
      <c r="AN116" s="131">
        <f t="shared" si="22"/>
        <v>268.75</v>
      </c>
      <c r="AO116" s="131">
        <f t="shared" si="23"/>
        <v>0</v>
      </c>
      <c r="AP116" s="131">
        <f t="shared" si="24"/>
        <v>8825.2099999999991</v>
      </c>
      <c r="AQ116" s="149">
        <f t="shared" si="57"/>
        <v>210</v>
      </c>
      <c r="AR116" s="149">
        <f t="shared" si="58"/>
        <v>107518.00000000001</v>
      </c>
      <c r="AS116" s="133"/>
      <c r="AT116" s="132">
        <f t="shared" si="59"/>
        <v>64</v>
      </c>
      <c r="AU116" s="148">
        <f t="shared" si="25"/>
        <v>47603</v>
      </c>
      <c r="AV116" s="131">
        <f t="shared" si="60"/>
        <v>26390</v>
      </c>
      <c r="AW116" s="131">
        <f t="shared" si="26"/>
        <v>483.82</v>
      </c>
      <c r="AX116" s="131">
        <f t="shared" si="27"/>
        <v>0</v>
      </c>
      <c r="AY116" s="131">
        <f t="shared" si="28"/>
        <v>210</v>
      </c>
      <c r="AZ116" s="131">
        <f t="shared" si="29"/>
        <v>26180</v>
      </c>
      <c r="BA116" s="131">
        <f t="shared" si="61"/>
        <v>12850</v>
      </c>
      <c r="BB116" s="131">
        <f t="shared" si="30"/>
        <v>203.46</v>
      </c>
      <c r="BC116" s="131">
        <f t="shared" si="31"/>
        <v>0</v>
      </c>
      <c r="BD116" s="131">
        <f t="shared" si="32"/>
        <v>0</v>
      </c>
      <c r="BE116" s="131">
        <f t="shared" si="33"/>
        <v>12850</v>
      </c>
      <c r="BF116" s="131">
        <f t="shared" si="62"/>
        <v>0</v>
      </c>
      <c r="BG116" s="131">
        <f t="shared" si="34"/>
        <v>0</v>
      </c>
      <c r="BH116" s="131">
        <f t="shared" si="35"/>
        <v>0</v>
      </c>
      <c r="BI116" s="131">
        <f t="shared" si="36"/>
        <v>0</v>
      </c>
      <c r="BJ116" s="131">
        <f t="shared" si="37"/>
        <v>0</v>
      </c>
      <c r="BK116" s="131">
        <f t="shared" si="63"/>
        <v>115000</v>
      </c>
      <c r="BL116" s="131">
        <f t="shared" si="38"/>
        <v>575</v>
      </c>
      <c r="BM116" s="131">
        <f t="shared" si="39"/>
        <v>0</v>
      </c>
      <c r="BN116" s="131">
        <f t="shared" si="40"/>
        <v>0</v>
      </c>
      <c r="BO116" s="131">
        <f t="shared" si="41"/>
        <v>115000</v>
      </c>
      <c r="BP116" s="131">
        <f t="shared" si="64"/>
        <v>12000</v>
      </c>
      <c r="BQ116" s="131">
        <f t="shared" si="42"/>
        <v>50</v>
      </c>
      <c r="BR116" s="131">
        <f t="shared" si="43"/>
        <v>0</v>
      </c>
      <c r="BS116" s="131">
        <f t="shared" si="44"/>
        <v>0</v>
      </c>
      <c r="BT116" s="131">
        <f t="shared" si="45"/>
        <v>12000</v>
      </c>
      <c r="BU116" s="131">
        <f t="shared" si="65"/>
        <v>9093.9599999999991</v>
      </c>
      <c r="BV116" s="131">
        <f t="shared" si="46"/>
        <v>121.25</v>
      </c>
      <c r="BW116" s="131">
        <f t="shared" si="47"/>
        <v>268.75</v>
      </c>
      <c r="BX116" s="131">
        <f t="shared" si="48"/>
        <v>0</v>
      </c>
      <c r="BY116" s="131">
        <f t="shared" si="49"/>
        <v>8825.2099999999991</v>
      </c>
      <c r="BZ116" s="147">
        <f t="shared" si="66"/>
        <v>210</v>
      </c>
      <c r="CA116" s="147">
        <f t="shared" si="67"/>
        <v>105000.13</v>
      </c>
    </row>
    <row r="117" spans="11:79">
      <c r="K117" s="152">
        <f t="shared" si="50"/>
        <v>65</v>
      </c>
      <c r="L117" s="151">
        <f t="shared" ref="L117:L180" si="68">IF(K117="","",EOMONTH(DATE(2025,1,1),K117-1))</f>
        <v>47634</v>
      </c>
      <c r="M117" s="150">
        <f t="shared" si="51"/>
        <v>35000</v>
      </c>
      <c r="N117" s="150">
        <f t="shared" ref="N117:N180" si="69">IF(M117&lt;=0.01,0,ROUND(M117*$D$13/12,2))</f>
        <v>641.66999999999996</v>
      </c>
      <c r="O117" s="150">
        <f t="shared" ref="O117:O180" si="70">IF(M117&lt;=0.01,0,MAX(0,MIN(M117,MAX(0,$E$13-N117))))</f>
        <v>0</v>
      </c>
      <c r="P117" s="150">
        <f t="shared" ref="P117:P180" si="71">IF(M117&lt;=0.01,0,IF(($F$13=MIN(IF(M117&gt;0.01,$F$13,999),IF(R117&gt;0.01,$F$14,999),IF(W117&gt;0.01,$F$15,999),IF(AB117&gt;0.01,$F$16,999),IF(AG117&gt;0.01,$F$17,999),IF(AL117&gt;0.01,$F$18,999))),MIN(MAX(0,M117-O117),AQ117),0))</f>
        <v>0</v>
      </c>
      <c r="Q117" s="150">
        <f t="shared" ref="Q117:Q180" si="72">MAX(0,ROUND(M117-O117-P117,2))</f>
        <v>35000</v>
      </c>
      <c r="R117" s="150">
        <f t="shared" si="52"/>
        <v>12850</v>
      </c>
      <c r="S117" s="150">
        <f t="shared" ref="S117:S180" si="73">IF(R117&lt;=0.01,0,ROUND(R117*$D$14/12,2))</f>
        <v>203.46</v>
      </c>
      <c r="T117" s="150">
        <f t="shared" ref="T117:T180" si="74">IF(R117&lt;=0.01,0,MAX(0,MIN(R117,MAX(0,$E$14-S117))))</f>
        <v>0</v>
      </c>
      <c r="U117" s="150">
        <f t="shared" ref="U117:U180" si="75">IF(R117&lt;=0.01,0,IF(($F$14=MIN(IF(M117&gt;0.01,$F$13,999),IF(R117&gt;0.01,$F$14,999),IF(W117&gt;0.01,$F$15,999),IF(AB117&gt;0.01,$F$16,999),IF(AG117&gt;0.01,$F$17,999),IF(AL117&gt;0.01,$F$18,999))),MIN(MAX(0,R117-T117),AQ117),0))</f>
        <v>0</v>
      </c>
      <c r="V117" s="150">
        <f t="shared" ref="V117:V180" si="76">MAX(0,ROUND(R117-T117-U117,2))</f>
        <v>12850</v>
      </c>
      <c r="W117" s="150">
        <f t="shared" si="53"/>
        <v>0</v>
      </c>
      <c r="X117" s="150">
        <f t="shared" ref="X117:X180" si="77">IF(W117&lt;=0.01,0,ROUND(W117*$D$15/12,2))</f>
        <v>0</v>
      </c>
      <c r="Y117" s="150">
        <f t="shared" ref="Y117:Y180" si="78">IF(W117&lt;=0.01,0,MAX(0,MIN(W117,MAX(0,$E$15-X117))))</f>
        <v>0</v>
      </c>
      <c r="Z117" s="150">
        <f t="shared" ref="Z117:Z180" si="79">IF(W117&lt;=0.01,0,IF(($F$15=MIN(IF(M117&gt;0.01,$F$13,999),IF(R117&gt;0.01,$F$14,999),IF(W117&gt;0.01,$F$15,999),IF(AB117&gt;0.01,$F$16,999),IF(AG117&gt;0.01,$F$17,999),IF(AL117&gt;0.01,$F$18,999))),MIN(MAX(0,W117-Y117),AQ117),0))</f>
        <v>0</v>
      </c>
      <c r="AA117" s="150">
        <f t="shared" ref="AA117:AA180" si="80">MAX(0,ROUND(W117-Y117-Z117,2))</f>
        <v>0</v>
      </c>
      <c r="AB117" s="150">
        <f t="shared" si="54"/>
        <v>115000</v>
      </c>
      <c r="AC117" s="150">
        <f t="shared" ref="AC117:AC180" si="81">IF(AB117&lt;=0.01,0,ROUND(AB117*$D$16/12,2))</f>
        <v>575</v>
      </c>
      <c r="AD117" s="150">
        <f t="shared" ref="AD117:AD180" si="82">IF(AB117&lt;=0.01,0,MAX(0,MIN(AB117,MAX(0,$E$16-AC117))))</f>
        <v>0</v>
      </c>
      <c r="AE117" s="150">
        <f t="shared" ref="AE117:AE180" si="83">IF(AB117&lt;=0.01,0,IF(($F$16=MIN(IF(M117&gt;0.01,$F$13,999),IF(R117&gt;0.01,$F$14,999),IF(W117&gt;0.01,$F$15,999),IF(AB117&gt;0.01,$F$16,999),IF(AG117&gt;0.01,$F$17,999),IF(AL117&gt;0.01,$F$18,999))),MIN(MAX(0,AB117-AD117),AQ117),0))</f>
        <v>0</v>
      </c>
      <c r="AF117" s="150">
        <f t="shared" ref="AF117:AF180" si="84">MAX(0,ROUND(AB117-AD117-AE117,2))</f>
        <v>115000</v>
      </c>
      <c r="AG117" s="150">
        <f t="shared" si="55"/>
        <v>2383.02</v>
      </c>
      <c r="AH117" s="150">
        <f t="shared" ref="AH117:AH180" si="85">IF(AG117&lt;=0.01,0,ROUND(AG117*$D$17/12,2))</f>
        <v>9.93</v>
      </c>
      <c r="AI117" s="150">
        <f t="shared" ref="AI117:AI180" si="86">IF(AG117&lt;=0.01,0,MAX(0,MIN(AG117,MAX(0,$E$17-AH117))))</f>
        <v>40.07</v>
      </c>
      <c r="AJ117" s="150">
        <f t="shared" ref="AJ117:AJ180" si="87">IF(AG117&lt;=0.01,0,IF(($F$17=MIN(IF(M117&gt;0.01,$F$13,999),IF(R117&gt;0.01,$F$14,999),IF(W117&gt;0.01,$F$15,999),IF(AB117&gt;0.01,$F$16,999),IF(AG117&gt;0.01,$F$17,999),IF(AL117&gt;0.01,$F$18,999))),MIN(MAX(0,AG117-AI117),AQ117),0))</f>
        <v>210</v>
      </c>
      <c r="AK117" s="150">
        <f t="shared" ref="AK117:AK180" si="88">MAX(0,ROUND(AG117-AI117-AJ117,2))</f>
        <v>2132.9499999999998</v>
      </c>
      <c r="AL117" s="150">
        <f t="shared" si="56"/>
        <v>8825.2099999999991</v>
      </c>
      <c r="AM117" s="150">
        <f t="shared" ref="AM117:AM180" si="89">IF(AL117&lt;=0.01,0,ROUND(AL117*$D$18/12,2))</f>
        <v>117.67</v>
      </c>
      <c r="AN117" s="150">
        <f t="shared" ref="AN117:AN180" si="90">IF(AL117&lt;=0.01,0,MAX(0,MIN(AL117,MAX(0,$E$18-AM117))))</f>
        <v>272.33</v>
      </c>
      <c r="AO117" s="150">
        <f t="shared" ref="AO117:AO180" si="91">IF(AL117&lt;=0.01,0,IF(($F$18=MIN(IF(M117&gt;0.01,$F$13,999),IF(R117&gt;0.01,$F$14,999),IF(W117&gt;0.01,$F$15,999),IF(AB117&gt;0.01,$F$16,999),IF(AG117&gt;0.01,$F$17,999),IF(AL117&gt;0.01,$F$18,999))),MIN(MAX(0,AL117-AN117),AQ117),0))</f>
        <v>0</v>
      </c>
      <c r="AP117" s="150">
        <f t="shared" ref="AP117:AP180" si="92">MAX(0,ROUND(AL117-AN117-AO117,2))</f>
        <v>8552.8799999999992</v>
      </c>
      <c r="AQ117" s="149">
        <f t="shared" si="57"/>
        <v>210</v>
      </c>
      <c r="AR117" s="149">
        <f t="shared" si="58"/>
        <v>109065.73000000001</v>
      </c>
      <c r="AS117" s="133"/>
      <c r="AT117" s="152">
        <f t="shared" si="59"/>
        <v>65</v>
      </c>
      <c r="AU117" s="151">
        <f t="shared" ref="AU117:AU180" si="93">IF(AT117="","",EOMONTH(DATE(2025,1,1),AT117-1))</f>
        <v>47634</v>
      </c>
      <c r="AV117" s="150">
        <f t="shared" si="60"/>
        <v>26180</v>
      </c>
      <c r="AW117" s="150">
        <f t="shared" ref="AW117:AW180" si="94">IF(AV117&lt;=0.01,0,ROUND(AV117*$D$13/12,2))</f>
        <v>479.97</v>
      </c>
      <c r="AX117" s="150">
        <f t="shared" ref="AX117:AX180" si="95">IF(AV117&lt;=0.01,0,MAX(0,MIN(AV117,MAX(0,$E$13-AW117))))</f>
        <v>0</v>
      </c>
      <c r="AY117" s="150">
        <f t="shared" ref="AY117:AY180" si="96">IF(AV117&lt;=0.01,0,IF(($G$13=MIN(IF(AV117&gt;0.01,$G$13,999),IF(BA117&gt;0.01,$G$14,999),IF(BF117&gt;0.01,$G$15,999),IF(BK117&gt;0.01,$G$16,999),IF(BP117&gt;0.01,$G$17,999),IF(BU117&gt;0.01,$G$18,999))),MIN(MAX(0,AV117-AX117),BZ117),0))</f>
        <v>210</v>
      </c>
      <c r="AZ117" s="150">
        <f t="shared" ref="AZ117:AZ180" si="97">MAX(0,ROUND(AV117-AX117-AY117,2))</f>
        <v>25970</v>
      </c>
      <c r="BA117" s="150">
        <f t="shared" si="61"/>
        <v>12850</v>
      </c>
      <c r="BB117" s="150">
        <f t="shared" ref="BB117:BB180" si="98">IF(BA117&lt;=0.01,0,ROUND(BA117*$D$14/12,2))</f>
        <v>203.46</v>
      </c>
      <c r="BC117" s="150">
        <f t="shared" ref="BC117:BC180" si="99">IF(BA117&lt;=0.01,0,MAX(0,MIN(BA117,MAX(0,$E$14-BB117))))</f>
        <v>0</v>
      </c>
      <c r="BD117" s="150">
        <f t="shared" ref="BD117:BD180" si="100">IF(BA117&lt;=0.01,0,IF(($G$14=MIN(IF(AV117&gt;0.01,$G$13,999),IF(BA117&gt;0.01,$G$14,999),IF(BF117&gt;0.01,$G$15,999),IF(BK117&gt;0.01,$G$16,999),IF(BP117&gt;0.01,$G$17,999),IF(BU117&gt;0.01,$G$18,999))),MIN(MAX(0,BA117-BC117),BZ117),0))</f>
        <v>0</v>
      </c>
      <c r="BE117" s="150">
        <f t="shared" ref="BE117:BE180" si="101">MAX(0,ROUND(BA117-BC117-BD117,2))</f>
        <v>12850</v>
      </c>
      <c r="BF117" s="150">
        <f t="shared" si="62"/>
        <v>0</v>
      </c>
      <c r="BG117" s="150">
        <f t="shared" ref="BG117:BG180" si="102">IF(BF117&lt;=0.01,0,ROUND(BF117*$D$15/12,2))</f>
        <v>0</v>
      </c>
      <c r="BH117" s="150">
        <f t="shared" ref="BH117:BH180" si="103">IF(BF117&lt;=0.01,0,MAX(0,MIN(BF117,MAX(0,$E$15-BG117))))</f>
        <v>0</v>
      </c>
      <c r="BI117" s="150">
        <f t="shared" ref="BI117:BI180" si="104">IF(BF117&lt;=0.01,0,IF(($G$15=MIN(IF(AV117&gt;0.01,$G$13,999),IF(BA117&gt;0.01,$G$14,999),IF(BF117&gt;0.01,$G$15,999),IF(BK117&gt;0.01,$G$16,999),IF(BP117&gt;0.01,$G$17,999),IF(BU117&gt;0.01,$G$18,999))),MIN(MAX(0,BF117-BH117),BZ117),0))</f>
        <v>0</v>
      </c>
      <c r="BJ117" s="150">
        <f t="shared" ref="BJ117:BJ180" si="105">MAX(0,ROUND(BF117-BH117-BI117,2))</f>
        <v>0</v>
      </c>
      <c r="BK117" s="150">
        <f t="shared" si="63"/>
        <v>115000</v>
      </c>
      <c r="BL117" s="150">
        <f t="shared" ref="BL117:BL180" si="106">IF(BK117&lt;=0.01,0,ROUND(BK117*$D$16/12,2))</f>
        <v>575</v>
      </c>
      <c r="BM117" s="150">
        <f t="shared" ref="BM117:BM180" si="107">IF(BK117&lt;=0.01,0,MAX(0,MIN(BK117,MAX(0,$E$16-BL117))))</f>
        <v>0</v>
      </c>
      <c r="BN117" s="150">
        <f t="shared" ref="BN117:BN180" si="108">IF(BK117&lt;=0.01,0,IF(($G$16=MIN(IF(AV117&gt;0.01,$G$13,999),IF(BA117&gt;0.01,$G$14,999),IF(BF117&gt;0.01,$G$15,999),IF(BK117&gt;0.01,$G$16,999),IF(BP117&gt;0.01,$G$17,999),IF(BU117&gt;0.01,$G$18,999))),MIN(MAX(0,BK117-BM117),BZ117),0))</f>
        <v>0</v>
      </c>
      <c r="BO117" s="150">
        <f t="shared" ref="BO117:BO180" si="109">MAX(0,ROUND(BK117-BM117-BN117,2))</f>
        <v>115000</v>
      </c>
      <c r="BP117" s="150">
        <f t="shared" si="64"/>
        <v>12000</v>
      </c>
      <c r="BQ117" s="150">
        <f t="shared" ref="BQ117:BQ180" si="110">IF(BP117&lt;=0.01,0,ROUND(BP117*$D$17/12,2))</f>
        <v>50</v>
      </c>
      <c r="BR117" s="150">
        <f t="shared" ref="BR117:BR180" si="111">IF(BP117&lt;=0.01,0,MAX(0,MIN(BP117,MAX(0,$E$17-BQ117))))</f>
        <v>0</v>
      </c>
      <c r="BS117" s="150">
        <f t="shared" ref="BS117:BS180" si="112">IF(BP117&lt;=0.01,0,IF(($G$17=MIN(IF(AV117&gt;0.01,$G$13,999),IF(BA117&gt;0.01,$G$14,999),IF(BF117&gt;0.01,$G$15,999),IF(BK117&gt;0.01,$G$16,999),IF(BP117&gt;0.01,$G$17,999),IF(BU117&gt;0.01,$G$18,999))),MIN(MAX(0,BP117-BR117),BZ117),0))</f>
        <v>0</v>
      </c>
      <c r="BT117" s="150">
        <f t="shared" ref="BT117:BT180" si="113">MAX(0,ROUND(BP117-BR117-BS117,2))</f>
        <v>12000</v>
      </c>
      <c r="BU117" s="150">
        <f t="shared" si="65"/>
        <v>8825.2099999999991</v>
      </c>
      <c r="BV117" s="150">
        <f t="shared" ref="BV117:BV180" si="114">IF(BU117&lt;=0.01,0,ROUND(BU117*$D$18/12,2))</f>
        <v>117.67</v>
      </c>
      <c r="BW117" s="150">
        <f t="shared" ref="BW117:BW180" si="115">IF(BU117&lt;=0.01,0,MAX(0,MIN(BU117,MAX(0,$E$18-BV117))))</f>
        <v>272.33</v>
      </c>
      <c r="BX117" s="150">
        <f t="shared" ref="BX117:BX180" si="116">IF(BU117&lt;=0.01,0,IF(($G$18=MIN(IF(AV117&gt;0.01,$G$13,999),IF(BA117&gt;0.01,$G$14,999),IF(BF117&gt;0.01,$G$15,999),IF(BK117&gt;0.01,$G$16,999),IF(BP117&gt;0.01,$G$17,999),IF(BU117&gt;0.01,$G$18,999))),MIN(MAX(0,BU117-BW117),BZ117),0))</f>
        <v>0</v>
      </c>
      <c r="BY117" s="150">
        <f t="shared" ref="BY117:BY180" si="117">MAX(0,ROUND(BU117-BW117-BX117,2))</f>
        <v>8552.8799999999992</v>
      </c>
      <c r="BZ117" s="147">
        <f t="shared" si="66"/>
        <v>210</v>
      </c>
      <c r="CA117" s="147">
        <f t="shared" si="67"/>
        <v>106426.23000000001</v>
      </c>
    </row>
    <row r="118" spans="11:79">
      <c r="K118" s="132">
        <f t="shared" ref="K118:K181" si="118">IF((Q117+V117+AA117+AF117+AK117+AP117)&lt;=0.01,"",K117+1)</f>
        <v>66</v>
      </c>
      <c r="L118" s="148">
        <f t="shared" si="68"/>
        <v>47664</v>
      </c>
      <c r="M118" s="131">
        <f t="shared" ref="M118:M181" si="119">MAX(0,Q117)</f>
        <v>35000</v>
      </c>
      <c r="N118" s="131">
        <f t="shared" si="69"/>
        <v>641.66999999999996</v>
      </c>
      <c r="O118" s="131">
        <f t="shared" si="70"/>
        <v>0</v>
      </c>
      <c r="P118" s="131">
        <f t="shared" si="71"/>
        <v>0</v>
      </c>
      <c r="Q118" s="131">
        <f t="shared" si="72"/>
        <v>35000</v>
      </c>
      <c r="R118" s="131">
        <f t="shared" ref="R118:R181" si="120">MAX(0,V117)</f>
        <v>12850</v>
      </c>
      <c r="S118" s="131">
        <f t="shared" si="73"/>
        <v>203.46</v>
      </c>
      <c r="T118" s="131">
        <f t="shared" si="74"/>
        <v>0</v>
      </c>
      <c r="U118" s="131">
        <f t="shared" si="75"/>
        <v>0</v>
      </c>
      <c r="V118" s="131">
        <f t="shared" si="76"/>
        <v>12850</v>
      </c>
      <c r="W118" s="131">
        <f t="shared" ref="W118:W181" si="121">MAX(0,AA117)</f>
        <v>0</v>
      </c>
      <c r="X118" s="131">
        <f t="shared" si="77"/>
        <v>0</v>
      </c>
      <c r="Y118" s="131">
        <f t="shared" si="78"/>
        <v>0</v>
      </c>
      <c r="Z118" s="131">
        <f t="shared" si="79"/>
        <v>0</v>
      </c>
      <c r="AA118" s="131">
        <f t="shared" si="80"/>
        <v>0</v>
      </c>
      <c r="AB118" s="131">
        <f t="shared" ref="AB118:AB181" si="122">MAX(0,AF117)</f>
        <v>115000</v>
      </c>
      <c r="AC118" s="131">
        <f t="shared" si="81"/>
        <v>575</v>
      </c>
      <c r="AD118" s="131">
        <f t="shared" si="82"/>
        <v>0</v>
      </c>
      <c r="AE118" s="131">
        <f t="shared" si="83"/>
        <v>0</v>
      </c>
      <c r="AF118" s="131">
        <f t="shared" si="84"/>
        <v>115000</v>
      </c>
      <c r="AG118" s="131">
        <f t="shared" ref="AG118:AG181" si="123">MAX(0,AK117)</f>
        <v>2132.9499999999998</v>
      </c>
      <c r="AH118" s="131">
        <f t="shared" si="85"/>
        <v>8.89</v>
      </c>
      <c r="AI118" s="131">
        <f t="shared" si="86"/>
        <v>41.11</v>
      </c>
      <c r="AJ118" s="131">
        <f t="shared" si="87"/>
        <v>210</v>
      </c>
      <c r="AK118" s="131">
        <f t="shared" si="88"/>
        <v>1881.84</v>
      </c>
      <c r="AL118" s="131">
        <f t="shared" ref="AL118:AL181" si="124">MAX(0,AP117)</f>
        <v>8552.8799999999992</v>
      </c>
      <c r="AM118" s="131">
        <f t="shared" si="89"/>
        <v>114.04</v>
      </c>
      <c r="AN118" s="131">
        <f t="shared" si="90"/>
        <v>275.95999999999998</v>
      </c>
      <c r="AO118" s="131">
        <f t="shared" si="91"/>
        <v>0</v>
      </c>
      <c r="AP118" s="131">
        <f t="shared" si="92"/>
        <v>8276.92</v>
      </c>
      <c r="AQ118" s="149">
        <f t="shared" ref="AQ118:AQ181" si="125">IF(K118="","",$C$9+IF(AND($C$13&gt;0,Q117&lt;=0.01),$E$13,0)+IF(AND($C$14&gt;0,V117&lt;=0.01),$E$14,0)+IF(AND($C$15&gt;0,AA117&lt;=0.01),$E$15,0)+IF(AND($C$16&gt;0,AF117&lt;=0.01),$E$16,0)+IF(AND($C$17&gt;0,AK117&lt;=0.01),$E$17,0)+IF(AND($C$18&gt;0,AP117&lt;=0.01),$E$18,0))</f>
        <v>210</v>
      </c>
      <c r="AR118" s="149">
        <f t="shared" ref="AR118:AR181" si="126">IFERROR(AR117+ROUND(N118+S118+X118+AC118+AH118+AM118,2),0)</f>
        <v>110608.79000000001</v>
      </c>
      <c r="AS118" s="133"/>
      <c r="AT118" s="132">
        <f t="shared" ref="AT118:AT181" si="127">IF((AZ117+BE117+BJ117+BO117+BT117+BY117)&lt;=0.01,"",AT117+1)</f>
        <v>66</v>
      </c>
      <c r="AU118" s="148">
        <f t="shared" si="93"/>
        <v>47664</v>
      </c>
      <c r="AV118" s="131">
        <f t="shared" ref="AV118:AV181" si="128">MAX(0,AZ117)</f>
        <v>25970</v>
      </c>
      <c r="AW118" s="131">
        <f t="shared" si="94"/>
        <v>476.12</v>
      </c>
      <c r="AX118" s="131">
        <f t="shared" si="95"/>
        <v>0</v>
      </c>
      <c r="AY118" s="131">
        <f t="shared" si="96"/>
        <v>210</v>
      </c>
      <c r="AZ118" s="131">
        <f t="shared" si="97"/>
        <v>25760</v>
      </c>
      <c r="BA118" s="131">
        <f t="shared" ref="BA118:BA181" si="129">MAX(0,BE117)</f>
        <v>12850</v>
      </c>
      <c r="BB118" s="131">
        <f t="shared" si="98"/>
        <v>203.46</v>
      </c>
      <c r="BC118" s="131">
        <f t="shared" si="99"/>
        <v>0</v>
      </c>
      <c r="BD118" s="131">
        <f t="shared" si="100"/>
        <v>0</v>
      </c>
      <c r="BE118" s="131">
        <f t="shared" si="101"/>
        <v>12850</v>
      </c>
      <c r="BF118" s="131">
        <f t="shared" ref="BF118:BF181" si="130">MAX(0,BJ117)</f>
        <v>0</v>
      </c>
      <c r="BG118" s="131">
        <f t="shared" si="102"/>
        <v>0</v>
      </c>
      <c r="BH118" s="131">
        <f t="shared" si="103"/>
        <v>0</v>
      </c>
      <c r="BI118" s="131">
        <f t="shared" si="104"/>
        <v>0</v>
      </c>
      <c r="BJ118" s="131">
        <f t="shared" si="105"/>
        <v>0</v>
      </c>
      <c r="BK118" s="131">
        <f t="shared" ref="BK118:BK181" si="131">MAX(0,BO117)</f>
        <v>115000</v>
      </c>
      <c r="BL118" s="131">
        <f t="shared" si="106"/>
        <v>575</v>
      </c>
      <c r="BM118" s="131">
        <f t="shared" si="107"/>
        <v>0</v>
      </c>
      <c r="BN118" s="131">
        <f t="shared" si="108"/>
        <v>0</v>
      </c>
      <c r="BO118" s="131">
        <f t="shared" si="109"/>
        <v>115000</v>
      </c>
      <c r="BP118" s="131">
        <f t="shared" ref="BP118:BP181" si="132">MAX(0,BT117)</f>
        <v>12000</v>
      </c>
      <c r="BQ118" s="131">
        <f t="shared" si="110"/>
        <v>50</v>
      </c>
      <c r="BR118" s="131">
        <f t="shared" si="111"/>
        <v>0</v>
      </c>
      <c r="BS118" s="131">
        <f t="shared" si="112"/>
        <v>0</v>
      </c>
      <c r="BT118" s="131">
        <f t="shared" si="113"/>
        <v>12000</v>
      </c>
      <c r="BU118" s="131">
        <f t="shared" ref="BU118:BU181" si="133">MAX(0,BY117)</f>
        <v>8552.8799999999992</v>
      </c>
      <c r="BV118" s="131">
        <f t="shared" si="114"/>
        <v>114.04</v>
      </c>
      <c r="BW118" s="131">
        <f t="shared" si="115"/>
        <v>275.95999999999998</v>
      </c>
      <c r="BX118" s="131">
        <f t="shared" si="116"/>
        <v>0</v>
      </c>
      <c r="BY118" s="131">
        <f t="shared" si="117"/>
        <v>8276.92</v>
      </c>
      <c r="BZ118" s="147">
        <f t="shared" ref="BZ118:BZ181" si="134">IF(AT118="","",$C$9+IF(AND($C$13&gt;0,AZ117&lt;=0.01),$E$13,0)+IF(AND($C$14&gt;0,BE117&lt;=0.01),$E$14,0)+IF(AND($C$15&gt;0,BJ117&lt;=0.01),$E$15,0)+IF(AND($C$16&gt;0,BO117&lt;=0.01),$E$16,0)+IF(AND($C$17&gt;0,BT117&lt;=0.01),$E$17,0)+IF(AND($C$18&gt;0,BY117&lt;=0.01),$E$18,0))</f>
        <v>210</v>
      </c>
      <c r="CA118" s="147">
        <f t="shared" ref="CA118:CA181" si="135">IFERROR(CA117+ROUND(AW118+BB118+BG118+BL118+BQ118+BV118,2),0)</f>
        <v>107844.85</v>
      </c>
    </row>
    <row r="119" spans="11:79">
      <c r="K119" s="152">
        <f t="shared" si="118"/>
        <v>67</v>
      </c>
      <c r="L119" s="151">
        <f t="shared" si="68"/>
        <v>47695</v>
      </c>
      <c r="M119" s="150">
        <f t="shared" si="119"/>
        <v>35000</v>
      </c>
      <c r="N119" s="150">
        <f t="shared" si="69"/>
        <v>641.66999999999996</v>
      </c>
      <c r="O119" s="150">
        <f t="shared" si="70"/>
        <v>0</v>
      </c>
      <c r="P119" s="150">
        <f t="shared" si="71"/>
        <v>0</v>
      </c>
      <c r="Q119" s="150">
        <f t="shared" si="72"/>
        <v>35000</v>
      </c>
      <c r="R119" s="150">
        <f t="shared" si="120"/>
        <v>12850</v>
      </c>
      <c r="S119" s="150">
        <f t="shared" si="73"/>
        <v>203.46</v>
      </c>
      <c r="T119" s="150">
        <f t="shared" si="74"/>
        <v>0</v>
      </c>
      <c r="U119" s="150">
        <f t="shared" si="75"/>
        <v>0</v>
      </c>
      <c r="V119" s="150">
        <f t="shared" si="76"/>
        <v>12850</v>
      </c>
      <c r="W119" s="150">
        <f t="shared" si="121"/>
        <v>0</v>
      </c>
      <c r="X119" s="150">
        <f t="shared" si="77"/>
        <v>0</v>
      </c>
      <c r="Y119" s="150">
        <f t="shared" si="78"/>
        <v>0</v>
      </c>
      <c r="Z119" s="150">
        <f t="shared" si="79"/>
        <v>0</v>
      </c>
      <c r="AA119" s="150">
        <f t="shared" si="80"/>
        <v>0</v>
      </c>
      <c r="AB119" s="150">
        <f t="shared" si="122"/>
        <v>115000</v>
      </c>
      <c r="AC119" s="150">
        <f t="shared" si="81"/>
        <v>575</v>
      </c>
      <c r="AD119" s="150">
        <f t="shared" si="82"/>
        <v>0</v>
      </c>
      <c r="AE119" s="150">
        <f t="shared" si="83"/>
        <v>0</v>
      </c>
      <c r="AF119" s="150">
        <f t="shared" si="84"/>
        <v>115000</v>
      </c>
      <c r="AG119" s="150">
        <f t="shared" si="123"/>
        <v>1881.84</v>
      </c>
      <c r="AH119" s="150">
        <f t="shared" si="85"/>
        <v>7.84</v>
      </c>
      <c r="AI119" s="150">
        <f t="shared" si="86"/>
        <v>42.16</v>
      </c>
      <c r="AJ119" s="150">
        <f t="shared" si="87"/>
        <v>210</v>
      </c>
      <c r="AK119" s="150">
        <f t="shared" si="88"/>
        <v>1629.68</v>
      </c>
      <c r="AL119" s="150">
        <f t="shared" si="124"/>
        <v>8276.92</v>
      </c>
      <c r="AM119" s="150">
        <f t="shared" si="89"/>
        <v>110.36</v>
      </c>
      <c r="AN119" s="150">
        <f t="shared" si="90"/>
        <v>279.64</v>
      </c>
      <c r="AO119" s="150">
        <f t="shared" si="91"/>
        <v>0</v>
      </c>
      <c r="AP119" s="150">
        <f t="shared" si="92"/>
        <v>7997.28</v>
      </c>
      <c r="AQ119" s="149">
        <f t="shared" si="125"/>
        <v>210</v>
      </c>
      <c r="AR119" s="149">
        <f t="shared" si="126"/>
        <v>112147.12000000001</v>
      </c>
      <c r="AS119" s="133"/>
      <c r="AT119" s="152">
        <f t="shared" si="127"/>
        <v>67</v>
      </c>
      <c r="AU119" s="151">
        <f t="shared" si="93"/>
        <v>47695</v>
      </c>
      <c r="AV119" s="150">
        <f t="shared" si="128"/>
        <v>25760</v>
      </c>
      <c r="AW119" s="150">
        <f t="shared" si="94"/>
        <v>472.27</v>
      </c>
      <c r="AX119" s="150">
        <f t="shared" si="95"/>
        <v>0</v>
      </c>
      <c r="AY119" s="150">
        <f t="shared" si="96"/>
        <v>210</v>
      </c>
      <c r="AZ119" s="150">
        <f t="shared" si="97"/>
        <v>25550</v>
      </c>
      <c r="BA119" s="150">
        <f t="shared" si="129"/>
        <v>12850</v>
      </c>
      <c r="BB119" s="150">
        <f t="shared" si="98"/>
        <v>203.46</v>
      </c>
      <c r="BC119" s="150">
        <f t="shared" si="99"/>
        <v>0</v>
      </c>
      <c r="BD119" s="150">
        <f t="shared" si="100"/>
        <v>0</v>
      </c>
      <c r="BE119" s="150">
        <f t="shared" si="101"/>
        <v>12850</v>
      </c>
      <c r="BF119" s="150">
        <f t="shared" si="130"/>
        <v>0</v>
      </c>
      <c r="BG119" s="150">
        <f t="shared" si="102"/>
        <v>0</v>
      </c>
      <c r="BH119" s="150">
        <f t="shared" si="103"/>
        <v>0</v>
      </c>
      <c r="BI119" s="150">
        <f t="shared" si="104"/>
        <v>0</v>
      </c>
      <c r="BJ119" s="150">
        <f t="shared" si="105"/>
        <v>0</v>
      </c>
      <c r="BK119" s="150">
        <f t="shared" si="131"/>
        <v>115000</v>
      </c>
      <c r="BL119" s="150">
        <f t="shared" si="106"/>
        <v>575</v>
      </c>
      <c r="BM119" s="150">
        <f t="shared" si="107"/>
        <v>0</v>
      </c>
      <c r="BN119" s="150">
        <f t="shared" si="108"/>
        <v>0</v>
      </c>
      <c r="BO119" s="150">
        <f t="shared" si="109"/>
        <v>115000</v>
      </c>
      <c r="BP119" s="150">
        <f t="shared" si="132"/>
        <v>12000</v>
      </c>
      <c r="BQ119" s="150">
        <f t="shared" si="110"/>
        <v>50</v>
      </c>
      <c r="BR119" s="150">
        <f t="shared" si="111"/>
        <v>0</v>
      </c>
      <c r="BS119" s="150">
        <f t="shared" si="112"/>
        <v>0</v>
      </c>
      <c r="BT119" s="150">
        <f t="shared" si="113"/>
        <v>12000</v>
      </c>
      <c r="BU119" s="150">
        <f t="shared" si="133"/>
        <v>8276.92</v>
      </c>
      <c r="BV119" s="150">
        <f t="shared" si="114"/>
        <v>110.36</v>
      </c>
      <c r="BW119" s="150">
        <f t="shared" si="115"/>
        <v>279.64</v>
      </c>
      <c r="BX119" s="150">
        <f t="shared" si="116"/>
        <v>0</v>
      </c>
      <c r="BY119" s="150">
        <f t="shared" si="117"/>
        <v>7997.28</v>
      </c>
      <c r="BZ119" s="147">
        <f t="shared" si="134"/>
        <v>210</v>
      </c>
      <c r="CA119" s="147">
        <f t="shared" si="135"/>
        <v>109255.94</v>
      </c>
    </row>
    <row r="120" spans="11:79">
      <c r="K120" s="132">
        <f t="shared" si="118"/>
        <v>68</v>
      </c>
      <c r="L120" s="148">
        <f t="shared" si="68"/>
        <v>47726</v>
      </c>
      <c r="M120" s="131">
        <f t="shared" si="119"/>
        <v>35000</v>
      </c>
      <c r="N120" s="131">
        <f t="shared" si="69"/>
        <v>641.66999999999996</v>
      </c>
      <c r="O120" s="131">
        <f t="shared" si="70"/>
        <v>0</v>
      </c>
      <c r="P120" s="131">
        <f t="shared" si="71"/>
        <v>0</v>
      </c>
      <c r="Q120" s="131">
        <f t="shared" si="72"/>
        <v>35000</v>
      </c>
      <c r="R120" s="131">
        <f t="shared" si="120"/>
        <v>12850</v>
      </c>
      <c r="S120" s="131">
        <f t="shared" si="73"/>
        <v>203.46</v>
      </c>
      <c r="T120" s="131">
        <f t="shared" si="74"/>
        <v>0</v>
      </c>
      <c r="U120" s="131">
        <f t="shared" si="75"/>
        <v>0</v>
      </c>
      <c r="V120" s="131">
        <f t="shared" si="76"/>
        <v>12850</v>
      </c>
      <c r="W120" s="131">
        <f t="shared" si="121"/>
        <v>0</v>
      </c>
      <c r="X120" s="131">
        <f t="shared" si="77"/>
        <v>0</v>
      </c>
      <c r="Y120" s="131">
        <f t="shared" si="78"/>
        <v>0</v>
      </c>
      <c r="Z120" s="131">
        <f t="shared" si="79"/>
        <v>0</v>
      </c>
      <c r="AA120" s="131">
        <f t="shared" si="80"/>
        <v>0</v>
      </c>
      <c r="AB120" s="131">
        <f t="shared" si="122"/>
        <v>115000</v>
      </c>
      <c r="AC120" s="131">
        <f t="shared" si="81"/>
        <v>575</v>
      </c>
      <c r="AD120" s="131">
        <f t="shared" si="82"/>
        <v>0</v>
      </c>
      <c r="AE120" s="131">
        <f t="shared" si="83"/>
        <v>0</v>
      </c>
      <c r="AF120" s="131">
        <f t="shared" si="84"/>
        <v>115000</v>
      </c>
      <c r="AG120" s="131">
        <f t="shared" si="123"/>
        <v>1629.68</v>
      </c>
      <c r="AH120" s="131">
        <f t="shared" si="85"/>
        <v>6.79</v>
      </c>
      <c r="AI120" s="131">
        <f t="shared" si="86"/>
        <v>43.21</v>
      </c>
      <c r="AJ120" s="131">
        <f t="shared" si="87"/>
        <v>210</v>
      </c>
      <c r="AK120" s="131">
        <f t="shared" si="88"/>
        <v>1376.47</v>
      </c>
      <c r="AL120" s="131">
        <f t="shared" si="124"/>
        <v>7997.28</v>
      </c>
      <c r="AM120" s="131">
        <f t="shared" si="89"/>
        <v>106.63</v>
      </c>
      <c r="AN120" s="131">
        <f t="shared" si="90"/>
        <v>283.37</v>
      </c>
      <c r="AO120" s="131">
        <f t="shared" si="91"/>
        <v>0</v>
      </c>
      <c r="AP120" s="131">
        <f t="shared" si="92"/>
        <v>7713.91</v>
      </c>
      <c r="AQ120" s="149">
        <f t="shared" si="125"/>
        <v>210</v>
      </c>
      <c r="AR120" s="149">
        <f t="shared" si="126"/>
        <v>113680.67000000001</v>
      </c>
      <c r="AS120" s="133"/>
      <c r="AT120" s="132">
        <f t="shared" si="127"/>
        <v>68</v>
      </c>
      <c r="AU120" s="148">
        <f t="shared" si="93"/>
        <v>47726</v>
      </c>
      <c r="AV120" s="131">
        <f t="shared" si="128"/>
        <v>25550</v>
      </c>
      <c r="AW120" s="131">
        <f t="shared" si="94"/>
        <v>468.42</v>
      </c>
      <c r="AX120" s="131">
        <f t="shared" si="95"/>
        <v>0</v>
      </c>
      <c r="AY120" s="131">
        <f t="shared" si="96"/>
        <v>210</v>
      </c>
      <c r="AZ120" s="131">
        <f t="shared" si="97"/>
        <v>25340</v>
      </c>
      <c r="BA120" s="131">
        <f t="shared" si="129"/>
        <v>12850</v>
      </c>
      <c r="BB120" s="131">
        <f t="shared" si="98"/>
        <v>203.46</v>
      </c>
      <c r="BC120" s="131">
        <f t="shared" si="99"/>
        <v>0</v>
      </c>
      <c r="BD120" s="131">
        <f t="shared" si="100"/>
        <v>0</v>
      </c>
      <c r="BE120" s="131">
        <f t="shared" si="101"/>
        <v>12850</v>
      </c>
      <c r="BF120" s="131">
        <f t="shared" si="130"/>
        <v>0</v>
      </c>
      <c r="BG120" s="131">
        <f t="shared" si="102"/>
        <v>0</v>
      </c>
      <c r="BH120" s="131">
        <f t="shared" si="103"/>
        <v>0</v>
      </c>
      <c r="BI120" s="131">
        <f t="shared" si="104"/>
        <v>0</v>
      </c>
      <c r="BJ120" s="131">
        <f t="shared" si="105"/>
        <v>0</v>
      </c>
      <c r="BK120" s="131">
        <f t="shared" si="131"/>
        <v>115000</v>
      </c>
      <c r="BL120" s="131">
        <f t="shared" si="106"/>
        <v>575</v>
      </c>
      <c r="BM120" s="131">
        <f t="shared" si="107"/>
        <v>0</v>
      </c>
      <c r="BN120" s="131">
        <f t="shared" si="108"/>
        <v>0</v>
      </c>
      <c r="BO120" s="131">
        <f t="shared" si="109"/>
        <v>115000</v>
      </c>
      <c r="BP120" s="131">
        <f t="shared" si="132"/>
        <v>12000</v>
      </c>
      <c r="BQ120" s="131">
        <f t="shared" si="110"/>
        <v>50</v>
      </c>
      <c r="BR120" s="131">
        <f t="shared" si="111"/>
        <v>0</v>
      </c>
      <c r="BS120" s="131">
        <f t="shared" si="112"/>
        <v>0</v>
      </c>
      <c r="BT120" s="131">
        <f t="shared" si="113"/>
        <v>12000</v>
      </c>
      <c r="BU120" s="131">
        <f t="shared" si="133"/>
        <v>7997.28</v>
      </c>
      <c r="BV120" s="131">
        <f t="shared" si="114"/>
        <v>106.63</v>
      </c>
      <c r="BW120" s="131">
        <f t="shared" si="115"/>
        <v>283.37</v>
      </c>
      <c r="BX120" s="131">
        <f t="shared" si="116"/>
        <v>0</v>
      </c>
      <c r="BY120" s="131">
        <f t="shared" si="117"/>
        <v>7713.91</v>
      </c>
      <c r="BZ120" s="147">
        <f t="shared" si="134"/>
        <v>210</v>
      </c>
      <c r="CA120" s="147">
        <f t="shared" si="135"/>
        <v>110659.45</v>
      </c>
    </row>
    <row r="121" spans="11:79">
      <c r="K121" s="152">
        <f t="shared" si="118"/>
        <v>69</v>
      </c>
      <c r="L121" s="151">
        <f t="shared" si="68"/>
        <v>47756</v>
      </c>
      <c r="M121" s="150">
        <f t="shared" si="119"/>
        <v>35000</v>
      </c>
      <c r="N121" s="150">
        <f t="shared" si="69"/>
        <v>641.66999999999996</v>
      </c>
      <c r="O121" s="150">
        <f t="shared" si="70"/>
        <v>0</v>
      </c>
      <c r="P121" s="150">
        <f t="shared" si="71"/>
        <v>0</v>
      </c>
      <c r="Q121" s="150">
        <f t="shared" si="72"/>
        <v>35000</v>
      </c>
      <c r="R121" s="150">
        <f t="shared" si="120"/>
        <v>12850</v>
      </c>
      <c r="S121" s="150">
        <f t="shared" si="73"/>
        <v>203.46</v>
      </c>
      <c r="T121" s="150">
        <f t="shared" si="74"/>
        <v>0</v>
      </c>
      <c r="U121" s="150">
        <f t="shared" si="75"/>
        <v>0</v>
      </c>
      <c r="V121" s="150">
        <f t="shared" si="76"/>
        <v>12850</v>
      </c>
      <c r="W121" s="150">
        <f t="shared" si="121"/>
        <v>0</v>
      </c>
      <c r="X121" s="150">
        <f t="shared" si="77"/>
        <v>0</v>
      </c>
      <c r="Y121" s="150">
        <f t="shared" si="78"/>
        <v>0</v>
      </c>
      <c r="Z121" s="150">
        <f t="shared" si="79"/>
        <v>0</v>
      </c>
      <c r="AA121" s="150">
        <f t="shared" si="80"/>
        <v>0</v>
      </c>
      <c r="AB121" s="150">
        <f t="shared" si="122"/>
        <v>115000</v>
      </c>
      <c r="AC121" s="150">
        <f t="shared" si="81"/>
        <v>575</v>
      </c>
      <c r="AD121" s="150">
        <f t="shared" si="82"/>
        <v>0</v>
      </c>
      <c r="AE121" s="150">
        <f t="shared" si="83"/>
        <v>0</v>
      </c>
      <c r="AF121" s="150">
        <f t="shared" si="84"/>
        <v>115000</v>
      </c>
      <c r="AG121" s="150">
        <f t="shared" si="123"/>
        <v>1376.47</v>
      </c>
      <c r="AH121" s="150">
        <f t="shared" si="85"/>
        <v>5.74</v>
      </c>
      <c r="AI121" s="150">
        <f t="shared" si="86"/>
        <v>44.26</v>
      </c>
      <c r="AJ121" s="150">
        <f t="shared" si="87"/>
        <v>210</v>
      </c>
      <c r="AK121" s="150">
        <f t="shared" si="88"/>
        <v>1122.21</v>
      </c>
      <c r="AL121" s="150">
        <f t="shared" si="124"/>
        <v>7713.91</v>
      </c>
      <c r="AM121" s="150">
        <f t="shared" si="89"/>
        <v>102.85</v>
      </c>
      <c r="AN121" s="150">
        <f t="shared" si="90"/>
        <v>287.14999999999998</v>
      </c>
      <c r="AO121" s="150">
        <f t="shared" si="91"/>
        <v>0</v>
      </c>
      <c r="AP121" s="150">
        <f t="shared" si="92"/>
        <v>7426.76</v>
      </c>
      <c r="AQ121" s="149">
        <f t="shared" si="125"/>
        <v>210</v>
      </c>
      <c r="AR121" s="149">
        <f t="shared" si="126"/>
        <v>115209.39000000001</v>
      </c>
      <c r="AS121" s="133"/>
      <c r="AT121" s="152">
        <f t="shared" si="127"/>
        <v>69</v>
      </c>
      <c r="AU121" s="151">
        <f t="shared" si="93"/>
        <v>47756</v>
      </c>
      <c r="AV121" s="150">
        <f t="shared" si="128"/>
        <v>25340</v>
      </c>
      <c r="AW121" s="150">
        <f t="shared" si="94"/>
        <v>464.57</v>
      </c>
      <c r="AX121" s="150">
        <f t="shared" si="95"/>
        <v>0</v>
      </c>
      <c r="AY121" s="150">
        <f t="shared" si="96"/>
        <v>210</v>
      </c>
      <c r="AZ121" s="150">
        <f t="shared" si="97"/>
        <v>25130</v>
      </c>
      <c r="BA121" s="150">
        <f t="shared" si="129"/>
        <v>12850</v>
      </c>
      <c r="BB121" s="150">
        <f t="shared" si="98"/>
        <v>203.46</v>
      </c>
      <c r="BC121" s="150">
        <f t="shared" si="99"/>
        <v>0</v>
      </c>
      <c r="BD121" s="150">
        <f t="shared" si="100"/>
        <v>0</v>
      </c>
      <c r="BE121" s="150">
        <f t="shared" si="101"/>
        <v>12850</v>
      </c>
      <c r="BF121" s="150">
        <f t="shared" si="130"/>
        <v>0</v>
      </c>
      <c r="BG121" s="150">
        <f t="shared" si="102"/>
        <v>0</v>
      </c>
      <c r="BH121" s="150">
        <f t="shared" si="103"/>
        <v>0</v>
      </c>
      <c r="BI121" s="150">
        <f t="shared" si="104"/>
        <v>0</v>
      </c>
      <c r="BJ121" s="150">
        <f t="shared" si="105"/>
        <v>0</v>
      </c>
      <c r="BK121" s="150">
        <f t="shared" si="131"/>
        <v>115000</v>
      </c>
      <c r="BL121" s="150">
        <f t="shared" si="106"/>
        <v>575</v>
      </c>
      <c r="BM121" s="150">
        <f t="shared" si="107"/>
        <v>0</v>
      </c>
      <c r="BN121" s="150">
        <f t="shared" si="108"/>
        <v>0</v>
      </c>
      <c r="BO121" s="150">
        <f t="shared" si="109"/>
        <v>115000</v>
      </c>
      <c r="BP121" s="150">
        <f t="shared" si="132"/>
        <v>12000</v>
      </c>
      <c r="BQ121" s="150">
        <f t="shared" si="110"/>
        <v>50</v>
      </c>
      <c r="BR121" s="150">
        <f t="shared" si="111"/>
        <v>0</v>
      </c>
      <c r="BS121" s="150">
        <f t="shared" si="112"/>
        <v>0</v>
      </c>
      <c r="BT121" s="150">
        <f t="shared" si="113"/>
        <v>12000</v>
      </c>
      <c r="BU121" s="150">
        <f t="shared" si="133"/>
        <v>7713.91</v>
      </c>
      <c r="BV121" s="150">
        <f t="shared" si="114"/>
        <v>102.85</v>
      </c>
      <c r="BW121" s="150">
        <f t="shared" si="115"/>
        <v>287.14999999999998</v>
      </c>
      <c r="BX121" s="150">
        <f t="shared" si="116"/>
        <v>0</v>
      </c>
      <c r="BY121" s="150">
        <f t="shared" si="117"/>
        <v>7426.76</v>
      </c>
      <c r="BZ121" s="147">
        <f t="shared" si="134"/>
        <v>210</v>
      </c>
      <c r="CA121" s="147">
        <f t="shared" si="135"/>
        <v>112055.33</v>
      </c>
    </row>
    <row r="122" spans="11:79">
      <c r="K122" s="132">
        <f t="shared" si="118"/>
        <v>70</v>
      </c>
      <c r="L122" s="148">
        <f t="shared" si="68"/>
        <v>47787</v>
      </c>
      <c r="M122" s="131">
        <f t="shared" si="119"/>
        <v>35000</v>
      </c>
      <c r="N122" s="131">
        <f t="shared" si="69"/>
        <v>641.66999999999996</v>
      </c>
      <c r="O122" s="131">
        <f t="shared" si="70"/>
        <v>0</v>
      </c>
      <c r="P122" s="131">
        <f t="shared" si="71"/>
        <v>0</v>
      </c>
      <c r="Q122" s="131">
        <f t="shared" si="72"/>
        <v>35000</v>
      </c>
      <c r="R122" s="131">
        <f t="shared" si="120"/>
        <v>12850</v>
      </c>
      <c r="S122" s="131">
        <f t="shared" si="73"/>
        <v>203.46</v>
      </c>
      <c r="T122" s="131">
        <f t="shared" si="74"/>
        <v>0</v>
      </c>
      <c r="U122" s="131">
        <f t="shared" si="75"/>
        <v>0</v>
      </c>
      <c r="V122" s="131">
        <f t="shared" si="76"/>
        <v>12850</v>
      </c>
      <c r="W122" s="131">
        <f t="shared" si="121"/>
        <v>0</v>
      </c>
      <c r="X122" s="131">
        <f t="shared" si="77"/>
        <v>0</v>
      </c>
      <c r="Y122" s="131">
        <f t="shared" si="78"/>
        <v>0</v>
      </c>
      <c r="Z122" s="131">
        <f t="shared" si="79"/>
        <v>0</v>
      </c>
      <c r="AA122" s="131">
        <f t="shared" si="80"/>
        <v>0</v>
      </c>
      <c r="AB122" s="131">
        <f t="shared" si="122"/>
        <v>115000</v>
      </c>
      <c r="AC122" s="131">
        <f t="shared" si="81"/>
        <v>575</v>
      </c>
      <c r="AD122" s="131">
        <f t="shared" si="82"/>
        <v>0</v>
      </c>
      <c r="AE122" s="131">
        <f t="shared" si="83"/>
        <v>0</v>
      </c>
      <c r="AF122" s="131">
        <f t="shared" si="84"/>
        <v>115000</v>
      </c>
      <c r="AG122" s="131">
        <f t="shared" si="123"/>
        <v>1122.21</v>
      </c>
      <c r="AH122" s="131">
        <f t="shared" si="85"/>
        <v>4.68</v>
      </c>
      <c r="AI122" s="131">
        <f t="shared" si="86"/>
        <v>45.32</v>
      </c>
      <c r="AJ122" s="131">
        <f t="shared" si="87"/>
        <v>210</v>
      </c>
      <c r="AK122" s="131">
        <f t="shared" si="88"/>
        <v>866.89</v>
      </c>
      <c r="AL122" s="131">
        <f t="shared" si="124"/>
        <v>7426.76</v>
      </c>
      <c r="AM122" s="131">
        <f t="shared" si="89"/>
        <v>99.02</v>
      </c>
      <c r="AN122" s="131">
        <f t="shared" si="90"/>
        <v>290.98</v>
      </c>
      <c r="AO122" s="131">
        <f t="shared" si="91"/>
        <v>0</v>
      </c>
      <c r="AP122" s="131">
        <f t="shared" si="92"/>
        <v>7135.78</v>
      </c>
      <c r="AQ122" s="149">
        <f t="shared" si="125"/>
        <v>210</v>
      </c>
      <c r="AR122" s="149">
        <f t="shared" si="126"/>
        <v>116733.22000000002</v>
      </c>
      <c r="AS122" s="133"/>
      <c r="AT122" s="132">
        <f t="shared" si="127"/>
        <v>70</v>
      </c>
      <c r="AU122" s="148">
        <f t="shared" si="93"/>
        <v>47787</v>
      </c>
      <c r="AV122" s="131">
        <f t="shared" si="128"/>
        <v>25130</v>
      </c>
      <c r="AW122" s="131">
        <f t="shared" si="94"/>
        <v>460.72</v>
      </c>
      <c r="AX122" s="131">
        <f t="shared" si="95"/>
        <v>0</v>
      </c>
      <c r="AY122" s="131">
        <f t="shared" si="96"/>
        <v>210</v>
      </c>
      <c r="AZ122" s="131">
        <f t="shared" si="97"/>
        <v>24920</v>
      </c>
      <c r="BA122" s="131">
        <f t="shared" si="129"/>
        <v>12850</v>
      </c>
      <c r="BB122" s="131">
        <f t="shared" si="98"/>
        <v>203.46</v>
      </c>
      <c r="BC122" s="131">
        <f t="shared" si="99"/>
        <v>0</v>
      </c>
      <c r="BD122" s="131">
        <f t="shared" si="100"/>
        <v>0</v>
      </c>
      <c r="BE122" s="131">
        <f t="shared" si="101"/>
        <v>12850</v>
      </c>
      <c r="BF122" s="131">
        <f t="shared" si="130"/>
        <v>0</v>
      </c>
      <c r="BG122" s="131">
        <f t="shared" si="102"/>
        <v>0</v>
      </c>
      <c r="BH122" s="131">
        <f t="shared" si="103"/>
        <v>0</v>
      </c>
      <c r="BI122" s="131">
        <f t="shared" si="104"/>
        <v>0</v>
      </c>
      <c r="BJ122" s="131">
        <f t="shared" si="105"/>
        <v>0</v>
      </c>
      <c r="BK122" s="131">
        <f t="shared" si="131"/>
        <v>115000</v>
      </c>
      <c r="BL122" s="131">
        <f t="shared" si="106"/>
        <v>575</v>
      </c>
      <c r="BM122" s="131">
        <f t="shared" si="107"/>
        <v>0</v>
      </c>
      <c r="BN122" s="131">
        <f t="shared" si="108"/>
        <v>0</v>
      </c>
      <c r="BO122" s="131">
        <f t="shared" si="109"/>
        <v>115000</v>
      </c>
      <c r="BP122" s="131">
        <f t="shared" si="132"/>
        <v>12000</v>
      </c>
      <c r="BQ122" s="131">
        <f t="shared" si="110"/>
        <v>50</v>
      </c>
      <c r="BR122" s="131">
        <f t="shared" si="111"/>
        <v>0</v>
      </c>
      <c r="BS122" s="131">
        <f t="shared" si="112"/>
        <v>0</v>
      </c>
      <c r="BT122" s="131">
        <f t="shared" si="113"/>
        <v>12000</v>
      </c>
      <c r="BU122" s="131">
        <f t="shared" si="133"/>
        <v>7426.76</v>
      </c>
      <c r="BV122" s="131">
        <f t="shared" si="114"/>
        <v>99.02</v>
      </c>
      <c r="BW122" s="131">
        <f t="shared" si="115"/>
        <v>290.98</v>
      </c>
      <c r="BX122" s="131">
        <f t="shared" si="116"/>
        <v>0</v>
      </c>
      <c r="BY122" s="131">
        <f t="shared" si="117"/>
        <v>7135.78</v>
      </c>
      <c r="BZ122" s="147">
        <f t="shared" si="134"/>
        <v>210</v>
      </c>
      <c r="CA122" s="147">
        <f t="shared" si="135"/>
        <v>113443.53</v>
      </c>
    </row>
    <row r="123" spans="11:79">
      <c r="K123" s="152">
        <f t="shared" si="118"/>
        <v>71</v>
      </c>
      <c r="L123" s="151">
        <f t="shared" si="68"/>
        <v>47817</v>
      </c>
      <c r="M123" s="150">
        <f t="shared" si="119"/>
        <v>35000</v>
      </c>
      <c r="N123" s="150">
        <f t="shared" si="69"/>
        <v>641.66999999999996</v>
      </c>
      <c r="O123" s="150">
        <f t="shared" si="70"/>
        <v>0</v>
      </c>
      <c r="P123" s="150">
        <f t="shared" si="71"/>
        <v>0</v>
      </c>
      <c r="Q123" s="150">
        <f t="shared" si="72"/>
        <v>35000</v>
      </c>
      <c r="R123" s="150">
        <f t="shared" si="120"/>
        <v>12850</v>
      </c>
      <c r="S123" s="150">
        <f t="shared" si="73"/>
        <v>203.46</v>
      </c>
      <c r="T123" s="150">
        <f t="shared" si="74"/>
        <v>0</v>
      </c>
      <c r="U123" s="150">
        <f t="shared" si="75"/>
        <v>0</v>
      </c>
      <c r="V123" s="150">
        <f t="shared" si="76"/>
        <v>12850</v>
      </c>
      <c r="W123" s="150">
        <f t="shared" si="121"/>
        <v>0</v>
      </c>
      <c r="X123" s="150">
        <f t="shared" si="77"/>
        <v>0</v>
      </c>
      <c r="Y123" s="150">
        <f t="shared" si="78"/>
        <v>0</v>
      </c>
      <c r="Z123" s="150">
        <f t="shared" si="79"/>
        <v>0</v>
      </c>
      <c r="AA123" s="150">
        <f t="shared" si="80"/>
        <v>0</v>
      </c>
      <c r="AB123" s="150">
        <f t="shared" si="122"/>
        <v>115000</v>
      </c>
      <c r="AC123" s="150">
        <f t="shared" si="81"/>
        <v>575</v>
      </c>
      <c r="AD123" s="150">
        <f t="shared" si="82"/>
        <v>0</v>
      </c>
      <c r="AE123" s="150">
        <f t="shared" si="83"/>
        <v>0</v>
      </c>
      <c r="AF123" s="150">
        <f t="shared" si="84"/>
        <v>115000</v>
      </c>
      <c r="AG123" s="150">
        <f t="shared" si="123"/>
        <v>866.89</v>
      </c>
      <c r="AH123" s="150">
        <f t="shared" si="85"/>
        <v>3.61</v>
      </c>
      <c r="AI123" s="150">
        <f t="shared" si="86"/>
        <v>46.39</v>
      </c>
      <c r="AJ123" s="150">
        <f t="shared" si="87"/>
        <v>210</v>
      </c>
      <c r="AK123" s="150">
        <f t="shared" si="88"/>
        <v>610.5</v>
      </c>
      <c r="AL123" s="150">
        <f t="shared" si="124"/>
        <v>7135.78</v>
      </c>
      <c r="AM123" s="150">
        <f t="shared" si="89"/>
        <v>95.14</v>
      </c>
      <c r="AN123" s="150">
        <f t="shared" si="90"/>
        <v>294.86</v>
      </c>
      <c r="AO123" s="150">
        <f t="shared" si="91"/>
        <v>0</v>
      </c>
      <c r="AP123" s="150">
        <f t="shared" si="92"/>
        <v>6840.92</v>
      </c>
      <c r="AQ123" s="149">
        <f t="shared" si="125"/>
        <v>210</v>
      </c>
      <c r="AR123" s="149">
        <f t="shared" si="126"/>
        <v>118252.10000000002</v>
      </c>
      <c r="AS123" s="133"/>
      <c r="AT123" s="152">
        <f t="shared" si="127"/>
        <v>71</v>
      </c>
      <c r="AU123" s="151">
        <f t="shared" si="93"/>
        <v>47817</v>
      </c>
      <c r="AV123" s="150">
        <f t="shared" si="128"/>
        <v>24920</v>
      </c>
      <c r="AW123" s="150">
        <f t="shared" si="94"/>
        <v>456.87</v>
      </c>
      <c r="AX123" s="150">
        <f t="shared" si="95"/>
        <v>0</v>
      </c>
      <c r="AY123" s="150">
        <f t="shared" si="96"/>
        <v>210</v>
      </c>
      <c r="AZ123" s="150">
        <f t="shared" si="97"/>
        <v>24710</v>
      </c>
      <c r="BA123" s="150">
        <f t="shared" si="129"/>
        <v>12850</v>
      </c>
      <c r="BB123" s="150">
        <f t="shared" si="98"/>
        <v>203.46</v>
      </c>
      <c r="BC123" s="150">
        <f t="shared" si="99"/>
        <v>0</v>
      </c>
      <c r="BD123" s="150">
        <f t="shared" si="100"/>
        <v>0</v>
      </c>
      <c r="BE123" s="150">
        <f t="shared" si="101"/>
        <v>12850</v>
      </c>
      <c r="BF123" s="150">
        <f t="shared" si="130"/>
        <v>0</v>
      </c>
      <c r="BG123" s="150">
        <f t="shared" si="102"/>
        <v>0</v>
      </c>
      <c r="BH123" s="150">
        <f t="shared" si="103"/>
        <v>0</v>
      </c>
      <c r="BI123" s="150">
        <f t="shared" si="104"/>
        <v>0</v>
      </c>
      <c r="BJ123" s="150">
        <f t="shared" si="105"/>
        <v>0</v>
      </c>
      <c r="BK123" s="150">
        <f t="shared" si="131"/>
        <v>115000</v>
      </c>
      <c r="BL123" s="150">
        <f t="shared" si="106"/>
        <v>575</v>
      </c>
      <c r="BM123" s="150">
        <f t="shared" si="107"/>
        <v>0</v>
      </c>
      <c r="BN123" s="150">
        <f t="shared" si="108"/>
        <v>0</v>
      </c>
      <c r="BO123" s="150">
        <f t="shared" si="109"/>
        <v>115000</v>
      </c>
      <c r="BP123" s="150">
        <f t="shared" si="132"/>
        <v>12000</v>
      </c>
      <c r="BQ123" s="150">
        <f t="shared" si="110"/>
        <v>50</v>
      </c>
      <c r="BR123" s="150">
        <f t="shared" si="111"/>
        <v>0</v>
      </c>
      <c r="BS123" s="150">
        <f t="shared" si="112"/>
        <v>0</v>
      </c>
      <c r="BT123" s="150">
        <f t="shared" si="113"/>
        <v>12000</v>
      </c>
      <c r="BU123" s="150">
        <f t="shared" si="133"/>
        <v>7135.78</v>
      </c>
      <c r="BV123" s="150">
        <f t="shared" si="114"/>
        <v>95.14</v>
      </c>
      <c r="BW123" s="150">
        <f t="shared" si="115"/>
        <v>294.86</v>
      </c>
      <c r="BX123" s="150">
        <f t="shared" si="116"/>
        <v>0</v>
      </c>
      <c r="BY123" s="150">
        <f t="shared" si="117"/>
        <v>6840.92</v>
      </c>
      <c r="BZ123" s="147">
        <f t="shared" si="134"/>
        <v>210</v>
      </c>
      <c r="CA123" s="147">
        <f t="shared" si="135"/>
        <v>114824</v>
      </c>
    </row>
    <row r="124" spans="11:79">
      <c r="K124" s="132">
        <f t="shared" si="118"/>
        <v>72</v>
      </c>
      <c r="L124" s="148">
        <f t="shared" si="68"/>
        <v>47848</v>
      </c>
      <c r="M124" s="131">
        <f t="shared" si="119"/>
        <v>35000</v>
      </c>
      <c r="N124" s="131">
        <f t="shared" si="69"/>
        <v>641.66999999999996</v>
      </c>
      <c r="O124" s="131">
        <f t="shared" si="70"/>
        <v>0</v>
      </c>
      <c r="P124" s="131">
        <f t="shared" si="71"/>
        <v>0</v>
      </c>
      <c r="Q124" s="131">
        <f t="shared" si="72"/>
        <v>35000</v>
      </c>
      <c r="R124" s="131">
        <f t="shared" si="120"/>
        <v>12850</v>
      </c>
      <c r="S124" s="131">
        <f t="shared" si="73"/>
        <v>203.46</v>
      </c>
      <c r="T124" s="131">
        <f t="shared" si="74"/>
        <v>0</v>
      </c>
      <c r="U124" s="131">
        <f t="shared" si="75"/>
        <v>0</v>
      </c>
      <c r="V124" s="131">
        <f t="shared" si="76"/>
        <v>12850</v>
      </c>
      <c r="W124" s="131">
        <f t="shared" si="121"/>
        <v>0</v>
      </c>
      <c r="X124" s="131">
        <f t="shared" si="77"/>
        <v>0</v>
      </c>
      <c r="Y124" s="131">
        <f t="shared" si="78"/>
        <v>0</v>
      </c>
      <c r="Z124" s="131">
        <f t="shared" si="79"/>
        <v>0</v>
      </c>
      <c r="AA124" s="131">
        <f t="shared" si="80"/>
        <v>0</v>
      </c>
      <c r="AB124" s="131">
        <f t="shared" si="122"/>
        <v>115000</v>
      </c>
      <c r="AC124" s="131">
        <f t="shared" si="81"/>
        <v>575</v>
      </c>
      <c r="AD124" s="131">
        <f t="shared" si="82"/>
        <v>0</v>
      </c>
      <c r="AE124" s="131">
        <f t="shared" si="83"/>
        <v>0</v>
      </c>
      <c r="AF124" s="131">
        <f t="shared" si="84"/>
        <v>115000</v>
      </c>
      <c r="AG124" s="131">
        <f t="shared" si="123"/>
        <v>610.5</v>
      </c>
      <c r="AH124" s="131">
        <f t="shared" si="85"/>
        <v>2.54</v>
      </c>
      <c r="AI124" s="131">
        <f t="shared" si="86"/>
        <v>47.46</v>
      </c>
      <c r="AJ124" s="131">
        <f t="shared" si="87"/>
        <v>210</v>
      </c>
      <c r="AK124" s="131">
        <f t="shared" si="88"/>
        <v>353.04</v>
      </c>
      <c r="AL124" s="131">
        <f t="shared" si="124"/>
        <v>6840.92</v>
      </c>
      <c r="AM124" s="131">
        <f t="shared" si="89"/>
        <v>91.21</v>
      </c>
      <c r="AN124" s="131">
        <f t="shared" si="90"/>
        <v>298.79000000000002</v>
      </c>
      <c r="AO124" s="131">
        <f t="shared" si="91"/>
        <v>0</v>
      </c>
      <c r="AP124" s="131">
        <f t="shared" si="92"/>
        <v>6542.13</v>
      </c>
      <c r="AQ124" s="149">
        <f t="shared" si="125"/>
        <v>210</v>
      </c>
      <c r="AR124" s="149">
        <f t="shared" si="126"/>
        <v>119765.98000000003</v>
      </c>
      <c r="AS124" s="133"/>
      <c r="AT124" s="132">
        <f t="shared" si="127"/>
        <v>72</v>
      </c>
      <c r="AU124" s="148">
        <f t="shared" si="93"/>
        <v>47848</v>
      </c>
      <c r="AV124" s="131">
        <f t="shared" si="128"/>
        <v>24710</v>
      </c>
      <c r="AW124" s="131">
        <f t="shared" si="94"/>
        <v>453.02</v>
      </c>
      <c r="AX124" s="131">
        <f t="shared" si="95"/>
        <v>0</v>
      </c>
      <c r="AY124" s="131">
        <f t="shared" si="96"/>
        <v>210</v>
      </c>
      <c r="AZ124" s="131">
        <f t="shared" si="97"/>
        <v>24500</v>
      </c>
      <c r="BA124" s="131">
        <f t="shared" si="129"/>
        <v>12850</v>
      </c>
      <c r="BB124" s="131">
        <f t="shared" si="98"/>
        <v>203.46</v>
      </c>
      <c r="BC124" s="131">
        <f t="shared" si="99"/>
        <v>0</v>
      </c>
      <c r="BD124" s="131">
        <f t="shared" si="100"/>
        <v>0</v>
      </c>
      <c r="BE124" s="131">
        <f t="shared" si="101"/>
        <v>12850</v>
      </c>
      <c r="BF124" s="131">
        <f t="shared" si="130"/>
        <v>0</v>
      </c>
      <c r="BG124" s="131">
        <f t="shared" si="102"/>
        <v>0</v>
      </c>
      <c r="BH124" s="131">
        <f t="shared" si="103"/>
        <v>0</v>
      </c>
      <c r="BI124" s="131">
        <f t="shared" si="104"/>
        <v>0</v>
      </c>
      <c r="BJ124" s="131">
        <f t="shared" si="105"/>
        <v>0</v>
      </c>
      <c r="BK124" s="131">
        <f t="shared" si="131"/>
        <v>115000</v>
      </c>
      <c r="BL124" s="131">
        <f t="shared" si="106"/>
        <v>575</v>
      </c>
      <c r="BM124" s="131">
        <f t="shared" si="107"/>
        <v>0</v>
      </c>
      <c r="BN124" s="131">
        <f t="shared" si="108"/>
        <v>0</v>
      </c>
      <c r="BO124" s="131">
        <f t="shared" si="109"/>
        <v>115000</v>
      </c>
      <c r="BP124" s="131">
        <f t="shared" si="132"/>
        <v>12000</v>
      </c>
      <c r="BQ124" s="131">
        <f t="shared" si="110"/>
        <v>50</v>
      </c>
      <c r="BR124" s="131">
        <f t="shared" si="111"/>
        <v>0</v>
      </c>
      <c r="BS124" s="131">
        <f t="shared" si="112"/>
        <v>0</v>
      </c>
      <c r="BT124" s="131">
        <f t="shared" si="113"/>
        <v>12000</v>
      </c>
      <c r="BU124" s="131">
        <f t="shared" si="133"/>
        <v>6840.92</v>
      </c>
      <c r="BV124" s="131">
        <f t="shared" si="114"/>
        <v>91.21</v>
      </c>
      <c r="BW124" s="131">
        <f t="shared" si="115"/>
        <v>298.79000000000002</v>
      </c>
      <c r="BX124" s="131">
        <f t="shared" si="116"/>
        <v>0</v>
      </c>
      <c r="BY124" s="131">
        <f t="shared" si="117"/>
        <v>6542.13</v>
      </c>
      <c r="BZ124" s="147">
        <f t="shared" si="134"/>
        <v>210</v>
      </c>
      <c r="CA124" s="147">
        <f t="shared" si="135"/>
        <v>116196.69</v>
      </c>
    </row>
    <row r="125" spans="11:79">
      <c r="K125" s="152">
        <f t="shared" si="118"/>
        <v>73</v>
      </c>
      <c r="L125" s="151">
        <f t="shared" si="68"/>
        <v>47879</v>
      </c>
      <c r="M125" s="150">
        <f t="shared" si="119"/>
        <v>35000</v>
      </c>
      <c r="N125" s="150">
        <f t="shared" si="69"/>
        <v>641.66999999999996</v>
      </c>
      <c r="O125" s="150">
        <f t="shared" si="70"/>
        <v>0</v>
      </c>
      <c r="P125" s="150">
        <f t="shared" si="71"/>
        <v>0</v>
      </c>
      <c r="Q125" s="150">
        <f t="shared" si="72"/>
        <v>35000</v>
      </c>
      <c r="R125" s="150">
        <f t="shared" si="120"/>
        <v>12850</v>
      </c>
      <c r="S125" s="150">
        <f t="shared" si="73"/>
        <v>203.46</v>
      </c>
      <c r="T125" s="150">
        <f t="shared" si="74"/>
        <v>0</v>
      </c>
      <c r="U125" s="150">
        <f t="shared" si="75"/>
        <v>0</v>
      </c>
      <c r="V125" s="150">
        <f t="shared" si="76"/>
        <v>12850</v>
      </c>
      <c r="W125" s="150">
        <f t="shared" si="121"/>
        <v>0</v>
      </c>
      <c r="X125" s="150">
        <f t="shared" si="77"/>
        <v>0</v>
      </c>
      <c r="Y125" s="150">
        <f t="shared" si="78"/>
        <v>0</v>
      </c>
      <c r="Z125" s="150">
        <f t="shared" si="79"/>
        <v>0</v>
      </c>
      <c r="AA125" s="150">
        <f t="shared" si="80"/>
        <v>0</v>
      </c>
      <c r="AB125" s="150">
        <f t="shared" si="122"/>
        <v>115000</v>
      </c>
      <c r="AC125" s="150">
        <f t="shared" si="81"/>
        <v>575</v>
      </c>
      <c r="AD125" s="150">
        <f t="shared" si="82"/>
        <v>0</v>
      </c>
      <c r="AE125" s="150">
        <f t="shared" si="83"/>
        <v>0</v>
      </c>
      <c r="AF125" s="150">
        <f t="shared" si="84"/>
        <v>115000</v>
      </c>
      <c r="AG125" s="150">
        <f t="shared" si="123"/>
        <v>353.04</v>
      </c>
      <c r="AH125" s="150">
        <f t="shared" si="85"/>
        <v>1.47</v>
      </c>
      <c r="AI125" s="150">
        <f t="shared" si="86"/>
        <v>48.53</v>
      </c>
      <c r="AJ125" s="150">
        <f t="shared" si="87"/>
        <v>210</v>
      </c>
      <c r="AK125" s="150">
        <f t="shared" si="88"/>
        <v>94.51</v>
      </c>
      <c r="AL125" s="150">
        <f t="shared" si="124"/>
        <v>6542.13</v>
      </c>
      <c r="AM125" s="150">
        <f t="shared" si="89"/>
        <v>87.23</v>
      </c>
      <c r="AN125" s="150">
        <f t="shared" si="90"/>
        <v>302.77</v>
      </c>
      <c r="AO125" s="150">
        <f t="shared" si="91"/>
        <v>0</v>
      </c>
      <c r="AP125" s="150">
        <f t="shared" si="92"/>
        <v>6239.36</v>
      </c>
      <c r="AQ125" s="149">
        <f t="shared" si="125"/>
        <v>210</v>
      </c>
      <c r="AR125" s="149">
        <f t="shared" si="126"/>
        <v>121274.81000000003</v>
      </c>
      <c r="AS125" s="133"/>
      <c r="AT125" s="152">
        <f t="shared" si="127"/>
        <v>73</v>
      </c>
      <c r="AU125" s="151">
        <f t="shared" si="93"/>
        <v>47879</v>
      </c>
      <c r="AV125" s="150">
        <f t="shared" si="128"/>
        <v>24500</v>
      </c>
      <c r="AW125" s="150">
        <f t="shared" si="94"/>
        <v>449.17</v>
      </c>
      <c r="AX125" s="150">
        <f t="shared" si="95"/>
        <v>0</v>
      </c>
      <c r="AY125" s="150">
        <f t="shared" si="96"/>
        <v>210</v>
      </c>
      <c r="AZ125" s="150">
        <f t="shared" si="97"/>
        <v>24290</v>
      </c>
      <c r="BA125" s="150">
        <f t="shared" si="129"/>
        <v>12850</v>
      </c>
      <c r="BB125" s="150">
        <f t="shared" si="98"/>
        <v>203.46</v>
      </c>
      <c r="BC125" s="150">
        <f t="shared" si="99"/>
        <v>0</v>
      </c>
      <c r="BD125" s="150">
        <f t="shared" si="100"/>
        <v>0</v>
      </c>
      <c r="BE125" s="150">
        <f t="shared" si="101"/>
        <v>12850</v>
      </c>
      <c r="BF125" s="150">
        <f t="shared" si="130"/>
        <v>0</v>
      </c>
      <c r="BG125" s="150">
        <f t="shared" si="102"/>
        <v>0</v>
      </c>
      <c r="BH125" s="150">
        <f t="shared" si="103"/>
        <v>0</v>
      </c>
      <c r="BI125" s="150">
        <f t="shared" si="104"/>
        <v>0</v>
      </c>
      <c r="BJ125" s="150">
        <f t="shared" si="105"/>
        <v>0</v>
      </c>
      <c r="BK125" s="150">
        <f t="shared" si="131"/>
        <v>115000</v>
      </c>
      <c r="BL125" s="150">
        <f t="shared" si="106"/>
        <v>575</v>
      </c>
      <c r="BM125" s="150">
        <f t="shared" si="107"/>
        <v>0</v>
      </c>
      <c r="BN125" s="150">
        <f t="shared" si="108"/>
        <v>0</v>
      </c>
      <c r="BO125" s="150">
        <f t="shared" si="109"/>
        <v>115000</v>
      </c>
      <c r="BP125" s="150">
        <f t="shared" si="132"/>
        <v>12000</v>
      </c>
      <c r="BQ125" s="150">
        <f t="shared" si="110"/>
        <v>50</v>
      </c>
      <c r="BR125" s="150">
        <f t="shared" si="111"/>
        <v>0</v>
      </c>
      <c r="BS125" s="150">
        <f t="shared" si="112"/>
        <v>0</v>
      </c>
      <c r="BT125" s="150">
        <f t="shared" si="113"/>
        <v>12000</v>
      </c>
      <c r="BU125" s="150">
        <f t="shared" si="133"/>
        <v>6542.13</v>
      </c>
      <c r="BV125" s="150">
        <f t="shared" si="114"/>
        <v>87.23</v>
      </c>
      <c r="BW125" s="150">
        <f t="shared" si="115"/>
        <v>302.77</v>
      </c>
      <c r="BX125" s="150">
        <f t="shared" si="116"/>
        <v>0</v>
      </c>
      <c r="BY125" s="150">
        <f t="shared" si="117"/>
        <v>6239.36</v>
      </c>
      <c r="BZ125" s="147">
        <f t="shared" si="134"/>
        <v>210</v>
      </c>
      <c r="CA125" s="147">
        <f t="shared" si="135"/>
        <v>117561.55</v>
      </c>
    </row>
    <row r="126" spans="11:79">
      <c r="K126" s="132">
        <f t="shared" si="118"/>
        <v>74</v>
      </c>
      <c r="L126" s="148">
        <f t="shared" si="68"/>
        <v>47907</v>
      </c>
      <c r="M126" s="131">
        <f t="shared" si="119"/>
        <v>35000</v>
      </c>
      <c r="N126" s="131">
        <f t="shared" si="69"/>
        <v>641.66999999999996</v>
      </c>
      <c r="O126" s="131">
        <f t="shared" si="70"/>
        <v>0</v>
      </c>
      <c r="P126" s="131">
        <f t="shared" si="71"/>
        <v>0</v>
      </c>
      <c r="Q126" s="131">
        <f t="shared" si="72"/>
        <v>35000</v>
      </c>
      <c r="R126" s="131">
        <f t="shared" si="120"/>
        <v>12850</v>
      </c>
      <c r="S126" s="131">
        <f t="shared" si="73"/>
        <v>203.46</v>
      </c>
      <c r="T126" s="131">
        <f t="shared" si="74"/>
        <v>0</v>
      </c>
      <c r="U126" s="131">
        <f t="shared" si="75"/>
        <v>0</v>
      </c>
      <c r="V126" s="131">
        <f t="shared" si="76"/>
        <v>12850</v>
      </c>
      <c r="W126" s="131">
        <f t="shared" si="121"/>
        <v>0</v>
      </c>
      <c r="X126" s="131">
        <f t="shared" si="77"/>
        <v>0</v>
      </c>
      <c r="Y126" s="131">
        <f t="shared" si="78"/>
        <v>0</v>
      </c>
      <c r="Z126" s="131">
        <f t="shared" si="79"/>
        <v>0</v>
      </c>
      <c r="AA126" s="131">
        <f t="shared" si="80"/>
        <v>0</v>
      </c>
      <c r="AB126" s="131">
        <f t="shared" si="122"/>
        <v>115000</v>
      </c>
      <c r="AC126" s="131">
        <f t="shared" si="81"/>
        <v>575</v>
      </c>
      <c r="AD126" s="131">
        <f t="shared" si="82"/>
        <v>0</v>
      </c>
      <c r="AE126" s="131">
        <f t="shared" si="83"/>
        <v>0</v>
      </c>
      <c r="AF126" s="131">
        <f t="shared" si="84"/>
        <v>115000</v>
      </c>
      <c r="AG126" s="131">
        <f t="shared" si="123"/>
        <v>94.51</v>
      </c>
      <c r="AH126" s="131">
        <f t="shared" si="85"/>
        <v>0.39</v>
      </c>
      <c r="AI126" s="131">
        <f t="shared" si="86"/>
        <v>49.61</v>
      </c>
      <c r="AJ126" s="131">
        <f t="shared" si="87"/>
        <v>44.900000000000006</v>
      </c>
      <c r="AK126" s="131">
        <f t="shared" si="88"/>
        <v>0</v>
      </c>
      <c r="AL126" s="131">
        <f t="shared" si="124"/>
        <v>6239.36</v>
      </c>
      <c r="AM126" s="131">
        <f t="shared" si="89"/>
        <v>83.19</v>
      </c>
      <c r="AN126" s="131">
        <f t="shared" si="90"/>
        <v>306.81</v>
      </c>
      <c r="AO126" s="131">
        <f t="shared" si="91"/>
        <v>0</v>
      </c>
      <c r="AP126" s="131">
        <f t="shared" si="92"/>
        <v>5932.55</v>
      </c>
      <c r="AQ126" s="149">
        <f t="shared" si="125"/>
        <v>210</v>
      </c>
      <c r="AR126" s="149">
        <f t="shared" si="126"/>
        <v>122778.52000000003</v>
      </c>
      <c r="AS126" s="133"/>
      <c r="AT126" s="132">
        <f t="shared" si="127"/>
        <v>74</v>
      </c>
      <c r="AU126" s="148">
        <f t="shared" si="93"/>
        <v>47907</v>
      </c>
      <c r="AV126" s="131">
        <f t="shared" si="128"/>
        <v>24290</v>
      </c>
      <c r="AW126" s="131">
        <f t="shared" si="94"/>
        <v>445.32</v>
      </c>
      <c r="AX126" s="131">
        <f t="shared" si="95"/>
        <v>0</v>
      </c>
      <c r="AY126" s="131">
        <f t="shared" si="96"/>
        <v>210</v>
      </c>
      <c r="AZ126" s="131">
        <f t="shared" si="97"/>
        <v>24080</v>
      </c>
      <c r="BA126" s="131">
        <f t="shared" si="129"/>
        <v>12850</v>
      </c>
      <c r="BB126" s="131">
        <f t="shared" si="98"/>
        <v>203.46</v>
      </c>
      <c r="BC126" s="131">
        <f t="shared" si="99"/>
        <v>0</v>
      </c>
      <c r="BD126" s="131">
        <f t="shared" si="100"/>
        <v>0</v>
      </c>
      <c r="BE126" s="131">
        <f t="shared" si="101"/>
        <v>12850</v>
      </c>
      <c r="BF126" s="131">
        <f t="shared" si="130"/>
        <v>0</v>
      </c>
      <c r="BG126" s="131">
        <f t="shared" si="102"/>
        <v>0</v>
      </c>
      <c r="BH126" s="131">
        <f t="shared" si="103"/>
        <v>0</v>
      </c>
      <c r="BI126" s="131">
        <f t="shared" si="104"/>
        <v>0</v>
      </c>
      <c r="BJ126" s="131">
        <f t="shared" si="105"/>
        <v>0</v>
      </c>
      <c r="BK126" s="131">
        <f t="shared" si="131"/>
        <v>115000</v>
      </c>
      <c r="BL126" s="131">
        <f t="shared" si="106"/>
        <v>575</v>
      </c>
      <c r="BM126" s="131">
        <f t="shared" si="107"/>
        <v>0</v>
      </c>
      <c r="BN126" s="131">
        <f t="shared" si="108"/>
        <v>0</v>
      </c>
      <c r="BO126" s="131">
        <f t="shared" si="109"/>
        <v>115000</v>
      </c>
      <c r="BP126" s="131">
        <f t="shared" si="132"/>
        <v>12000</v>
      </c>
      <c r="BQ126" s="131">
        <f t="shared" si="110"/>
        <v>50</v>
      </c>
      <c r="BR126" s="131">
        <f t="shared" si="111"/>
        <v>0</v>
      </c>
      <c r="BS126" s="131">
        <f t="shared" si="112"/>
        <v>0</v>
      </c>
      <c r="BT126" s="131">
        <f t="shared" si="113"/>
        <v>12000</v>
      </c>
      <c r="BU126" s="131">
        <f t="shared" si="133"/>
        <v>6239.36</v>
      </c>
      <c r="BV126" s="131">
        <f t="shared" si="114"/>
        <v>83.19</v>
      </c>
      <c r="BW126" s="131">
        <f t="shared" si="115"/>
        <v>306.81</v>
      </c>
      <c r="BX126" s="131">
        <f t="shared" si="116"/>
        <v>0</v>
      </c>
      <c r="BY126" s="131">
        <f t="shared" si="117"/>
        <v>5932.55</v>
      </c>
      <c r="BZ126" s="147">
        <f t="shared" si="134"/>
        <v>210</v>
      </c>
      <c r="CA126" s="147">
        <f t="shared" si="135"/>
        <v>118918.52</v>
      </c>
    </row>
    <row r="127" spans="11:79">
      <c r="K127" s="152">
        <f t="shared" si="118"/>
        <v>75</v>
      </c>
      <c r="L127" s="151">
        <f t="shared" si="68"/>
        <v>47938</v>
      </c>
      <c r="M127" s="150">
        <f t="shared" si="119"/>
        <v>35000</v>
      </c>
      <c r="N127" s="150">
        <f t="shared" si="69"/>
        <v>641.66999999999996</v>
      </c>
      <c r="O127" s="150">
        <f t="shared" si="70"/>
        <v>0</v>
      </c>
      <c r="P127" s="150">
        <f t="shared" si="71"/>
        <v>0</v>
      </c>
      <c r="Q127" s="150">
        <f t="shared" si="72"/>
        <v>35000</v>
      </c>
      <c r="R127" s="150">
        <f t="shared" si="120"/>
        <v>12850</v>
      </c>
      <c r="S127" s="150">
        <f t="shared" si="73"/>
        <v>203.46</v>
      </c>
      <c r="T127" s="150">
        <f t="shared" si="74"/>
        <v>0</v>
      </c>
      <c r="U127" s="150">
        <f t="shared" si="75"/>
        <v>260</v>
      </c>
      <c r="V127" s="150">
        <f t="shared" si="76"/>
        <v>12590</v>
      </c>
      <c r="W127" s="150">
        <f t="shared" si="121"/>
        <v>0</v>
      </c>
      <c r="X127" s="150">
        <f t="shared" si="77"/>
        <v>0</v>
      </c>
      <c r="Y127" s="150">
        <f t="shared" si="78"/>
        <v>0</v>
      </c>
      <c r="Z127" s="150">
        <f t="shared" si="79"/>
        <v>0</v>
      </c>
      <c r="AA127" s="150">
        <f t="shared" si="80"/>
        <v>0</v>
      </c>
      <c r="AB127" s="150">
        <f t="shared" si="122"/>
        <v>115000</v>
      </c>
      <c r="AC127" s="150">
        <f t="shared" si="81"/>
        <v>575</v>
      </c>
      <c r="AD127" s="150">
        <f t="shared" si="82"/>
        <v>0</v>
      </c>
      <c r="AE127" s="150">
        <f t="shared" si="83"/>
        <v>0</v>
      </c>
      <c r="AF127" s="150">
        <f t="shared" si="84"/>
        <v>115000</v>
      </c>
      <c r="AG127" s="150">
        <f t="shared" si="123"/>
        <v>0</v>
      </c>
      <c r="AH127" s="150">
        <f t="shared" si="85"/>
        <v>0</v>
      </c>
      <c r="AI127" s="150">
        <f t="shared" si="86"/>
        <v>0</v>
      </c>
      <c r="AJ127" s="150">
        <f t="shared" si="87"/>
        <v>0</v>
      </c>
      <c r="AK127" s="150">
        <f t="shared" si="88"/>
        <v>0</v>
      </c>
      <c r="AL127" s="150">
        <f t="shared" si="124"/>
        <v>5932.55</v>
      </c>
      <c r="AM127" s="150">
        <f t="shared" si="89"/>
        <v>79.099999999999994</v>
      </c>
      <c r="AN127" s="150">
        <f t="shared" si="90"/>
        <v>310.89999999999998</v>
      </c>
      <c r="AO127" s="150">
        <f t="shared" si="91"/>
        <v>0</v>
      </c>
      <c r="AP127" s="150">
        <f t="shared" si="92"/>
        <v>5621.65</v>
      </c>
      <c r="AQ127" s="149">
        <f t="shared" si="125"/>
        <v>260</v>
      </c>
      <c r="AR127" s="149">
        <f t="shared" si="126"/>
        <v>124277.75000000003</v>
      </c>
      <c r="AS127" s="133"/>
      <c r="AT127" s="152">
        <f t="shared" si="127"/>
        <v>75</v>
      </c>
      <c r="AU127" s="151">
        <f t="shared" si="93"/>
        <v>47938</v>
      </c>
      <c r="AV127" s="150">
        <f t="shared" si="128"/>
        <v>24080</v>
      </c>
      <c r="AW127" s="150">
        <f t="shared" si="94"/>
        <v>441.47</v>
      </c>
      <c r="AX127" s="150">
        <f t="shared" si="95"/>
        <v>0</v>
      </c>
      <c r="AY127" s="150">
        <f t="shared" si="96"/>
        <v>210</v>
      </c>
      <c r="AZ127" s="150">
        <f t="shared" si="97"/>
        <v>23870</v>
      </c>
      <c r="BA127" s="150">
        <f t="shared" si="129"/>
        <v>12850</v>
      </c>
      <c r="BB127" s="150">
        <f t="shared" si="98"/>
        <v>203.46</v>
      </c>
      <c r="BC127" s="150">
        <f t="shared" si="99"/>
        <v>0</v>
      </c>
      <c r="BD127" s="150">
        <f t="shared" si="100"/>
        <v>0</v>
      </c>
      <c r="BE127" s="150">
        <f t="shared" si="101"/>
        <v>12850</v>
      </c>
      <c r="BF127" s="150">
        <f t="shared" si="130"/>
        <v>0</v>
      </c>
      <c r="BG127" s="150">
        <f t="shared" si="102"/>
        <v>0</v>
      </c>
      <c r="BH127" s="150">
        <f t="shared" si="103"/>
        <v>0</v>
      </c>
      <c r="BI127" s="150">
        <f t="shared" si="104"/>
        <v>0</v>
      </c>
      <c r="BJ127" s="150">
        <f t="shared" si="105"/>
        <v>0</v>
      </c>
      <c r="BK127" s="150">
        <f t="shared" si="131"/>
        <v>115000</v>
      </c>
      <c r="BL127" s="150">
        <f t="shared" si="106"/>
        <v>575</v>
      </c>
      <c r="BM127" s="150">
        <f t="shared" si="107"/>
        <v>0</v>
      </c>
      <c r="BN127" s="150">
        <f t="shared" si="108"/>
        <v>0</v>
      </c>
      <c r="BO127" s="150">
        <f t="shared" si="109"/>
        <v>115000</v>
      </c>
      <c r="BP127" s="150">
        <f t="shared" si="132"/>
        <v>12000</v>
      </c>
      <c r="BQ127" s="150">
        <f t="shared" si="110"/>
        <v>50</v>
      </c>
      <c r="BR127" s="150">
        <f t="shared" si="111"/>
        <v>0</v>
      </c>
      <c r="BS127" s="150">
        <f t="shared" si="112"/>
        <v>0</v>
      </c>
      <c r="BT127" s="150">
        <f t="shared" si="113"/>
        <v>12000</v>
      </c>
      <c r="BU127" s="150">
        <f t="shared" si="133"/>
        <v>5932.55</v>
      </c>
      <c r="BV127" s="150">
        <f t="shared" si="114"/>
        <v>79.099999999999994</v>
      </c>
      <c r="BW127" s="150">
        <f t="shared" si="115"/>
        <v>310.89999999999998</v>
      </c>
      <c r="BX127" s="150">
        <f t="shared" si="116"/>
        <v>0</v>
      </c>
      <c r="BY127" s="150">
        <f t="shared" si="117"/>
        <v>5621.65</v>
      </c>
      <c r="BZ127" s="147">
        <f t="shared" si="134"/>
        <v>210</v>
      </c>
      <c r="CA127" s="147">
        <f t="shared" si="135"/>
        <v>120267.55</v>
      </c>
    </row>
    <row r="128" spans="11:79">
      <c r="K128" s="132">
        <f t="shared" si="118"/>
        <v>76</v>
      </c>
      <c r="L128" s="148">
        <f t="shared" si="68"/>
        <v>47968</v>
      </c>
      <c r="M128" s="131">
        <f t="shared" si="119"/>
        <v>35000</v>
      </c>
      <c r="N128" s="131">
        <f t="shared" si="69"/>
        <v>641.66999999999996</v>
      </c>
      <c r="O128" s="131">
        <f t="shared" si="70"/>
        <v>0</v>
      </c>
      <c r="P128" s="131">
        <f t="shared" si="71"/>
        <v>0</v>
      </c>
      <c r="Q128" s="131">
        <f t="shared" si="72"/>
        <v>35000</v>
      </c>
      <c r="R128" s="131">
        <f t="shared" si="120"/>
        <v>12590</v>
      </c>
      <c r="S128" s="131">
        <f t="shared" si="73"/>
        <v>199.34</v>
      </c>
      <c r="T128" s="131">
        <f t="shared" si="74"/>
        <v>0</v>
      </c>
      <c r="U128" s="131">
        <f t="shared" si="75"/>
        <v>260</v>
      </c>
      <c r="V128" s="131">
        <f t="shared" si="76"/>
        <v>12330</v>
      </c>
      <c r="W128" s="131">
        <f t="shared" si="121"/>
        <v>0</v>
      </c>
      <c r="X128" s="131">
        <f t="shared" si="77"/>
        <v>0</v>
      </c>
      <c r="Y128" s="131">
        <f t="shared" si="78"/>
        <v>0</v>
      </c>
      <c r="Z128" s="131">
        <f t="shared" si="79"/>
        <v>0</v>
      </c>
      <c r="AA128" s="131">
        <f t="shared" si="80"/>
        <v>0</v>
      </c>
      <c r="AB128" s="131">
        <f t="shared" si="122"/>
        <v>115000</v>
      </c>
      <c r="AC128" s="131">
        <f t="shared" si="81"/>
        <v>575</v>
      </c>
      <c r="AD128" s="131">
        <f t="shared" si="82"/>
        <v>0</v>
      </c>
      <c r="AE128" s="131">
        <f t="shared" si="83"/>
        <v>0</v>
      </c>
      <c r="AF128" s="131">
        <f t="shared" si="84"/>
        <v>115000</v>
      </c>
      <c r="AG128" s="131">
        <f t="shared" si="123"/>
        <v>0</v>
      </c>
      <c r="AH128" s="131">
        <f t="shared" si="85"/>
        <v>0</v>
      </c>
      <c r="AI128" s="131">
        <f t="shared" si="86"/>
        <v>0</v>
      </c>
      <c r="AJ128" s="131">
        <f t="shared" si="87"/>
        <v>0</v>
      </c>
      <c r="AK128" s="131">
        <f t="shared" si="88"/>
        <v>0</v>
      </c>
      <c r="AL128" s="131">
        <f t="shared" si="124"/>
        <v>5621.65</v>
      </c>
      <c r="AM128" s="131">
        <f t="shared" si="89"/>
        <v>74.959999999999994</v>
      </c>
      <c r="AN128" s="131">
        <f t="shared" si="90"/>
        <v>315.04000000000002</v>
      </c>
      <c r="AO128" s="131">
        <f t="shared" si="91"/>
        <v>0</v>
      </c>
      <c r="AP128" s="131">
        <f t="shared" si="92"/>
        <v>5306.61</v>
      </c>
      <c r="AQ128" s="149">
        <f t="shared" si="125"/>
        <v>260</v>
      </c>
      <c r="AR128" s="149">
        <f t="shared" si="126"/>
        <v>125768.72000000003</v>
      </c>
      <c r="AS128" s="133"/>
      <c r="AT128" s="132">
        <f t="shared" si="127"/>
        <v>76</v>
      </c>
      <c r="AU128" s="148">
        <f t="shared" si="93"/>
        <v>47968</v>
      </c>
      <c r="AV128" s="131">
        <f t="shared" si="128"/>
        <v>23870</v>
      </c>
      <c r="AW128" s="131">
        <f t="shared" si="94"/>
        <v>437.62</v>
      </c>
      <c r="AX128" s="131">
        <f t="shared" si="95"/>
        <v>0</v>
      </c>
      <c r="AY128" s="131">
        <f t="shared" si="96"/>
        <v>210</v>
      </c>
      <c r="AZ128" s="131">
        <f t="shared" si="97"/>
        <v>23660</v>
      </c>
      <c r="BA128" s="131">
        <f t="shared" si="129"/>
        <v>12850</v>
      </c>
      <c r="BB128" s="131">
        <f t="shared" si="98"/>
        <v>203.46</v>
      </c>
      <c r="BC128" s="131">
        <f t="shared" si="99"/>
        <v>0</v>
      </c>
      <c r="BD128" s="131">
        <f t="shared" si="100"/>
        <v>0</v>
      </c>
      <c r="BE128" s="131">
        <f t="shared" si="101"/>
        <v>12850</v>
      </c>
      <c r="BF128" s="131">
        <f t="shared" si="130"/>
        <v>0</v>
      </c>
      <c r="BG128" s="131">
        <f t="shared" si="102"/>
        <v>0</v>
      </c>
      <c r="BH128" s="131">
        <f t="shared" si="103"/>
        <v>0</v>
      </c>
      <c r="BI128" s="131">
        <f t="shared" si="104"/>
        <v>0</v>
      </c>
      <c r="BJ128" s="131">
        <f t="shared" si="105"/>
        <v>0</v>
      </c>
      <c r="BK128" s="131">
        <f t="shared" si="131"/>
        <v>115000</v>
      </c>
      <c r="BL128" s="131">
        <f t="shared" si="106"/>
        <v>575</v>
      </c>
      <c r="BM128" s="131">
        <f t="shared" si="107"/>
        <v>0</v>
      </c>
      <c r="BN128" s="131">
        <f t="shared" si="108"/>
        <v>0</v>
      </c>
      <c r="BO128" s="131">
        <f t="shared" si="109"/>
        <v>115000</v>
      </c>
      <c r="BP128" s="131">
        <f t="shared" si="132"/>
        <v>12000</v>
      </c>
      <c r="BQ128" s="131">
        <f t="shared" si="110"/>
        <v>50</v>
      </c>
      <c r="BR128" s="131">
        <f t="shared" si="111"/>
        <v>0</v>
      </c>
      <c r="BS128" s="131">
        <f t="shared" si="112"/>
        <v>0</v>
      </c>
      <c r="BT128" s="131">
        <f t="shared" si="113"/>
        <v>12000</v>
      </c>
      <c r="BU128" s="131">
        <f t="shared" si="133"/>
        <v>5621.65</v>
      </c>
      <c r="BV128" s="131">
        <f t="shared" si="114"/>
        <v>74.959999999999994</v>
      </c>
      <c r="BW128" s="131">
        <f t="shared" si="115"/>
        <v>315.04000000000002</v>
      </c>
      <c r="BX128" s="131">
        <f t="shared" si="116"/>
        <v>0</v>
      </c>
      <c r="BY128" s="131">
        <f t="shared" si="117"/>
        <v>5306.61</v>
      </c>
      <c r="BZ128" s="147">
        <f t="shared" si="134"/>
        <v>210</v>
      </c>
      <c r="CA128" s="147">
        <f t="shared" si="135"/>
        <v>121608.59</v>
      </c>
    </row>
    <row r="129" spans="11:79">
      <c r="K129" s="152">
        <f t="shared" si="118"/>
        <v>77</v>
      </c>
      <c r="L129" s="151">
        <f t="shared" si="68"/>
        <v>47999</v>
      </c>
      <c r="M129" s="150">
        <f t="shared" si="119"/>
        <v>35000</v>
      </c>
      <c r="N129" s="150">
        <f t="shared" si="69"/>
        <v>641.66999999999996</v>
      </c>
      <c r="O129" s="150">
        <f t="shared" si="70"/>
        <v>0</v>
      </c>
      <c r="P129" s="150">
        <f t="shared" si="71"/>
        <v>0</v>
      </c>
      <c r="Q129" s="150">
        <f t="shared" si="72"/>
        <v>35000</v>
      </c>
      <c r="R129" s="150">
        <f t="shared" si="120"/>
        <v>12330</v>
      </c>
      <c r="S129" s="150">
        <f t="shared" si="73"/>
        <v>195.23</v>
      </c>
      <c r="T129" s="150">
        <f t="shared" si="74"/>
        <v>0</v>
      </c>
      <c r="U129" s="150">
        <f t="shared" si="75"/>
        <v>260</v>
      </c>
      <c r="V129" s="150">
        <f t="shared" si="76"/>
        <v>12070</v>
      </c>
      <c r="W129" s="150">
        <f t="shared" si="121"/>
        <v>0</v>
      </c>
      <c r="X129" s="150">
        <f t="shared" si="77"/>
        <v>0</v>
      </c>
      <c r="Y129" s="150">
        <f t="shared" si="78"/>
        <v>0</v>
      </c>
      <c r="Z129" s="150">
        <f t="shared" si="79"/>
        <v>0</v>
      </c>
      <c r="AA129" s="150">
        <f t="shared" si="80"/>
        <v>0</v>
      </c>
      <c r="AB129" s="150">
        <f t="shared" si="122"/>
        <v>115000</v>
      </c>
      <c r="AC129" s="150">
        <f t="shared" si="81"/>
        <v>575</v>
      </c>
      <c r="AD129" s="150">
        <f t="shared" si="82"/>
        <v>0</v>
      </c>
      <c r="AE129" s="150">
        <f t="shared" si="83"/>
        <v>0</v>
      </c>
      <c r="AF129" s="150">
        <f t="shared" si="84"/>
        <v>115000</v>
      </c>
      <c r="AG129" s="150">
        <f t="shared" si="123"/>
        <v>0</v>
      </c>
      <c r="AH129" s="150">
        <f t="shared" si="85"/>
        <v>0</v>
      </c>
      <c r="AI129" s="150">
        <f t="shared" si="86"/>
        <v>0</v>
      </c>
      <c r="AJ129" s="150">
        <f t="shared" si="87"/>
        <v>0</v>
      </c>
      <c r="AK129" s="150">
        <f t="shared" si="88"/>
        <v>0</v>
      </c>
      <c r="AL129" s="150">
        <f t="shared" si="124"/>
        <v>5306.61</v>
      </c>
      <c r="AM129" s="150">
        <f t="shared" si="89"/>
        <v>70.75</v>
      </c>
      <c r="AN129" s="150">
        <f t="shared" si="90"/>
        <v>319.25</v>
      </c>
      <c r="AO129" s="150">
        <f t="shared" si="91"/>
        <v>0</v>
      </c>
      <c r="AP129" s="150">
        <f t="shared" si="92"/>
        <v>4987.3599999999997</v>
      </c>
      <c r="AQ129" s="149">
        <f t="shared" si="125"/>
        <v>260</v>
      </c>
      <c r="AR129" s="149">
        <f t="shared" si="126"/>
        <v>127251.37000000002</v>
      </c>
      <c r="AS129" s="133"/>
      <c r="AT129" s="152">
        <f t="shared" si="127"/>
        <v>77</v>
      </c>
      <c r="AU129" s="151">
        <f t="shared" si="93"/>
        <v>47999</v>
      </c>
      <c r="AV129" s="150">
        <f t="shared" si="128"/>
        <v>23660</v>
      </c>
      <c r="AW129" s="150">
        <f t="shared" si="94"/>
        <v>433.77</v>
      </c>
      <c r="AX129" s="150">
        <f t="shared" si="95"/>
        <v>0</v>
      </c>
      <c r="AY129" s="150">
        <f t="shared" si="96"/>
        <v>210</v>
      </c>
      <c r="AZ129" s="150">
        <f t="shared" si="97"/>
        <v>23450</v>
      </c>
      <c r="BA129" s="150">
        <f t="shared" si="129"/>
        <v>12850</v>
      </c>
      <c r="BB129" s="150">
        <f t="shared" si="98"/>
        <v>203.46</v>
      </c>
      <c r="BC129" s="150">
        <f t="shared" si="99"/>
        <v>0</v>
      </c>
      <c r="BD129" s="150">
        <f t="shared" si="100"/>
        <v>0</v>
      </c>
      <c r="BE129" s="150">
        <f t="shared" si="101"/>
        <v>12850</v>
      </c>
      <c r="BF129" s="150">
        <f t="shared" si="130"/>
        <v>0</v>
      </c>
      <c r="BG129" s="150">
        <f t="shared" si="102"/>
        <v>0</v>
      </c>
      <c r="BH129" s="150">
        <f t="shared" si="103"/>
        <v>0</v>
      </c>
      <c r="BI129" s="150">
        <f t="shared" si="104"/>
        <v>0</v>
      </c>
      <c r="BJ129" s="150">
        <f t="shared" si="105"/>
        <v>0</v>
      </c>
      <c r="BK129" s="150">
        <f t="shared" si="131"/>
        <v>115000</v>
      </c>
      <c r="BL129" s="150">
        <f t="shared" si="106"/>
        <v>575</v>
      </c>
      <c r="BM129" s="150">
        <f t="shared" si="107"/>
        <v>0</v>
      </c>
      <c r="BN129" s="150">
        <f t="shared" si="108"/>
        <v>0</v>
      </c>
      <c r="BO129" s="150">
        <f t="shared" si="109"/>
        <v>115000</v>
      </c>
      <c r="BP129" s="150">
        <f t="shared" si="132"/>
        <v>12000</v>
      </c>
      <c r="BQ129" s="150">
        <f t="shared" si="110"/>
        <v>50</v>
      </c>
      <c r="BR129" s="150">
        <f t="shared" si="111"/>
        <v>0</v>
      </c>
      <c r="BS129" s="150">
        <f t="shared" si="112"/>
        <v>0</v>
      </c>
      <c r="BT129" s="150">
        <f t="shared" si="113"/>
        <v>12000</v>
      </c>
      <c r="BU129" s="150">
        <f t="shared" si="133"/>
        <v>5306.61</v>
      </c>
      <c r="BV129" s="150">
        <f t="shared" si="114"/>
        <v>70.75</v>
      </c>
      <c r="BW129" s="150">
        <f t="shared" si="115"/>
        <v>319.25</v>
      </c>
      <c r="BX129" s="150">
        <f t="shared" si="116"/>
        <v>0</v>
      </c>
      <c r="BY129" s="150">
        <f t="shared" si="117"/>
        <v>4987.3599999999997</v>
      </c>
      <c r="BZ129" s="147">
        <f t="shared" si="134"/>
        <v>210</v>
      </c>
      <c r="CA129" s="147">
        <f t="shared" si="135"/>
        <v>122941.56999999999</v>
      </c>
    </row>
    <row r="130" spans="11:79">
      <c r="K130" s="132">
        <f t="shared" si="118"/>
        <v>78</v>
      </c>
      <c r="L130" s="148">
        <f t="shared" si="68"/>
        <v>48029</v>
      </c>
      <c r="M130" s="131">
        <f t="shared" si="119"/>
        <v>35000</v>
      </c>
      <c r="N130" s="131">
        <f t="shared" si="69"/>
        <v>641.66999999999996</v>
      </c>
      <c r="O130" s="131">
        <f t="shared" si="70"/>
        <v>0</v>
      </c>
      <c r="P130" s="131">
        <f t="shared" si="71"/>
        <v>0</v>
      </c>
      <c r="Q130" s="131">
        <f t="shared" si="72"/>
        <v>35000</v>
      </c>
      <c r="R130" s="131">
        <f t="shared" si="120"/>
        <v>12070</v>
      </c>
      <c r="S130" s="131">
        <f t="shared" si="73"/>
        <v>191.11</v>
      </c>
      <c r="T130" s="131">
        <f t="shared" si="74"/>
        <v>0</v>
      </c>
      <c r="U130" s="131">
        <f t="shared" si="75"/>
        <v>260</v>
      </c>
      <c r="V130" s="131">
        <f t="shared" si="76"/>
        <v>11810</v>
      </c>
      <c r="W130" s="131">
        <f t="shared" si="121"/>
        <v>0</v>
      </c>
      <c r="X130" s="131">
        <f t="shared" si="77"/>
        <v>0</v>
      </c>
      <c r="Y130" s="131">
        <f t="shared" si="78"/>
        <v>0</v>
      </c>
      <c r="Z130" s="131">
        <f t="shared" si="79"/>
        <v>0</v>
      </c>
      <c r="AA130" s="131">
        <f t="shared" si="80"/>
        <v>0</v>
      </c>
      <c r="AB130" s="131">
        <f t="shared" si="122"/>
        <v>115000</v>
      </c>
      <c r="AC130" s="131">
        <f t="shared" si="81"/>
        <v>575</v>
      </c>
      <c r="AD130" s="131">
        <f t="shared" si="82"/>
        <v>0</v>
      </c>
      <c r="AE130" s="131">
        <f t="shared" si="83"/>
        <v>0</v>
      </c>
      <c r="AF130" s="131">
        <f t="shared" si="84"/>
        <v>115000</v>
      </c>
      <c r="AG130" s="131">
        <f t="shared" si="123"/>
        <v>0</v>
      </c>
      <c r="AH130" s="131">
        <f t="shared" si="85"/>
        <v>0</v>
      </c>
      <c r="AI130" s="131">
        <f t="shared" si="86"/>
        <v>0</v>
      </c>
      <c r="AJ130" s="131">
        <f t="shared" si="87"/>
        <v>0</v>
      </c>
      <c r="AK130" s="131">
        <f t="shared" si="88"/>
        <v>0</v>
      </c>
      <c r="AL130" s="131">
        <f t="shared" si="124"/>
        <v>4987.3599999999997</v>
      </c>
      <c r="AM130" s="131">
        <f t="shared" si="89"/>
        <v>66.5</v>
      </c>
      <c r="AN130" s="131">
        <f t="shared" si="90"/>
        <v>323.5</v>
      </c>
      <c r="AO130" s="131">
        <f t="shared" si="91"/>
        <v>0</v>
      </c>
      <c r="AP130" s="131">
        <f t="shared" si="92"/>
        <v>4663.8599999999997</v>
      </c>
      <c r="AQ130" s="149">
        <f t="shared" si="125"/>
        <v>260</v>
      </c>
      <c r="AR130" s="149">
        <f t="shared" si="126"/>
        <v>128725.65000000002</v>
      </c>
      <c r="AS130" s="133"/>
      <c r="AT130" s="132">
        <f t="shared" si="127"/>
        <v>78</v>
      </c>
      <c r="AU130" s="148">
        <f t="shared" si="93"/>
        <v>48029</v>
      </c>
      <c r="AV130" s="131">
        <f t="shared" si="128"/>
        <v>23450</v>
      </c>
      <c r="AW130" s="131">
        <f t="shared" si="94"/>
        <v>429.92</v>
      </c>
      <c r="AX130" s="131">
        <f t="shared" si="95"/>
        <v>0</v>
      </c>
      <c r="AY130" s="131">
        <f t="shared" si="96"/>
        <v>210</v>
      </c>
      <c r="AZ130" s="131">
        <f t="shared" si="97"/>
        <v>23240</v>
      </c>
      <c r="BA130" s="131">
        <f t="shared" si="129"/>
        <v>12850</v>
      </c>
      <c r="BB130" s="131">
        <f t="shared" si="98"/>
        <v>203.46</v>
      </c>
      <c r="BC130" s="131">
        <f t="shared" si="99"/>
        <v>0</v>
      </c>
      <c r="BD130" s="131">
        <f t="shared" si="100"/>
        <v>0</v>
      </c>
      <c r="BE130" s="131">
        <f t="shared" si="101"/>
        <v>12850</v>
      </c>
      <c r="BF130" s="131">
        <f t="shared" si="130"/>
        <v>0</v>
      </c>
      <c r="BG130" s="131">
        <f t="shared" si="102"/>
        <v>0</v>
      </c>
      <c r="BH130" s="131">
        <f t="shared" si="103"/>
        <v>0</v>
      </c>
      <c r="BI130" s="131">
        <f t="shared" si="104"/>
        <v>0</v>
      </c>
      <c r="BJ130" s="131">
        <f t="shared" si="105"/>
        <v>0</v>
      </c>
      <c r="BK130" s="131">
        <f t="shared" si="131"/>
        <v>115000</v>
      </c>
      <c r="BL130" s="131">
        <f t="shared" si="106"/>
        <v>575</v>
      </c>
      <c r="BM130" s="131">
        <f t="shared" si="107"/>
        <v>0</v>
      </c>
      <c r="BN130" s="131">
        <f t="shared" si="108"/>
        <v>0</v>
      </c>
      <c r="BO130" s="131">
        <f t="shared" si="109"/>
        <v>115000</v>
      </c>
      <c r="BP130" s="131">
        <f t="shared" si="132"/>
        <v>12000</v>
      </c>
      <c r="BQ130" s="131">
        <f t="shared" si="110"/>
        <v>50</v>
      </c>
      <c r="BR130" s="131">
        <f t="shared" si="111"/>
        <v>0</v>
      </c>
      <c r="BS130" s="131">
        <f t="shared" si="112"/>
        <v>0</v>
      </c>
      <c r="BT130" s="131">
        <f t="shared" si="113"/>
        <v>12000</v>
      </c>
      <c r="BU130" s="131">
        <f t="shared" si="133"/>
        <v>4987.3599999999997</v>
      </c>
      <c r="BV130" s="131">
        <f t="shared" si="114"/>
        <v>66.5</v>
      </c>
      <c r="BW130" s="131">
        <f t="shared" si="115"/>
        <v>323.5</v>
      </c>
      <c r="BX130" s="131">
        <f t="shared" si="116"/>
        <v>0</v>
      </c>
      <c r="BY130" s="131">
        <f t="shared" si="117"/>
        <v>4663.8599999999997</v>
      </c>
      <c r="BZ130" s="147">
        <f t="shared" si="134"/>
        <v>210</v>
      </c>
      <c r="CA130" s="147">
        <f t="shared" si="135"/>
        <v>124266.45</v>
      </c>
    </row>
    <row r="131" spans="11:79">
      <c r="K131" s="152">
        <f t="shared" si="118"/>
        <v>79</v>
      </c>
      <c r="L131" s="151">
        <f t="shared" si="68"/>
        <v>48060</v>
      </c>
      <c r="M131" s="150">
        <f t="shared" si="119"/>
        <v>35000</v>
      </c>
      <c r="N131" s="150">
        <f t="shared" si="69"/>
        <v>641.66999999999996</v>
      </c>
      <c r="O131" s="150">
        <f t="shared" si="70"/>
        <v>0</v>
      </c>
      <c r="P131" s="150">
        <f t="shared" si="71"/>
        <v>0</v>
      </c>
      <c r="Q131" s="150">
        <f t="shared" si="72"/>
        <v>35000</v>
      </c>
      <c r="R131" s="150">
        <f t="shared" si="120"/>
        <v>11810</v>
      </c>
      <c r="S131" s="150">
        <f t="shared" si="73"/>
        <v>186.99</v>
      </c>
      <c r="T131" s="150">
        <f t="shared" si="74"/>
        <v>0</v>
      </c>
      <c r="U131" s="150">
        <f t="shared" si="75"/>
        <v>260</v>
      </c>
      <c r="V131" s="150">
        <f t="shared" si="76"/>
        <v>11550</v>
      </c>
      <c r="W131" s="150">
        <f t="shared" si="121"/>
        <v>0</v>
      </c>
      <c r="X131" s="150">
        <f t="shared" si="77"/>
        <v>0</v>
      </c>
      <c r="Y131" s="150">
        <f t="shared" si="78"/>
        <v>0</v>
      </c>
      <c r="Z131" s="150">
        <f t="shared" si="79"/>
        <v>0</v>
      </c>
      <c r="AA131" s="150">
        <f t="shared" si="80"/>
        <v>0</v>
      </c>
      <c r="AB131" s="150">
        <f t="shared" si="122"/>
        <v>115000</v>
      </c>
      <c r="AC131" s="150">
        <f t="shared" si="81"/>
        <v>575</v>
      </c>
      <c r="AD131" s="150">
        <f t="shared" si="82"/>
        <v>0</v>
      </c>
      <c r="AE131" s="150">
        <f t="shared" si="83"/>
        <v>0</v>
      </c>
      <c r="AF131" s="150">
        <f t="shared" si="84"/>
        <v>115000</v>
      </c>
      <c r="AG131" s="150">
        <f t="shared" si="123"/>
        <v>0</v>
      </c>
      <c r="AH131" s="150">
        <f t="shared" si="85"/>
        <v>0</v>
      </c>
      <c r="AI131" s="150">
        <f t="shared" si="86"/>
        <v>0</v>
      </c>
      <c r="AJ131" s="150">
        <f t="shared" si="87"/>
        <v>0</v>
      </c>
      <c r="AK131" s="150">
        <f t="shared" si="88"/>
        <v>0</v>
      </c>
      <c r="AL131" s="150">
        <f t="shared" si="124"/>
        <v>4663.8599999999997</v>
      </c>
      <c r="AM131" s="150">
        <f t="shared" si="89"/>
        <v>62.18</v>
      </c>
      <c r="AN131" s="150">
        <f t="shared" si="90"/>
        <v>327.82</v>
      </c>
      <c r="AO131" s="150">
        <f t="shared" si="91"/>
        <v>0</v>
      </c>
      <c r="AP131" s="150">
        <f t="shared" si="92"/>
        <v>4336.04</v>
      </c>
      <c r="AQ131" s="149">
        <f t="shared" si="125"/>
        <v>260</v>
      </c>
      <c r="AR131" s="149">
        <f t="shared" si="126"/>
        <v>130191.49000000002</v>
      </c>
      <c r="AS131" s="133"/>
      <c r="AT131" s="152">
        <f t="shared" si="127"/>
        <v>79</v>
      </c>
      <c r="AU131" s="151">
        <f t="shared" si="93"/>
        <v>48060</v>
      </c>
      <c r="AV131" s="150">
        <f t="shared" si="128"/>
        <v>23240</v>
      </c>
      <c r="AW131" s="150">
        <f t="shared" si="94"/>
        <v>426.07</v>
      </c>
      <c r="AX131" s="150">
        <f t="shared" si="95"/>
        <v>0</v>
      </c>
      <c r="AY131" s="150">
        <f t="shared" si="96"/>
        <v>210</v>
      </c>
      <c r="AZ131" s="150">
        <f t="shared" si="97"/>
        <v>23030</v>
      </c>
      <c r="BA131" s="150">
        <f t="shared" si="129"/>
        <v>12850</v>
      </c>
      <c r="BB131" s="150">
        <f t="shared" si="98"/>
        <v>203.46</v>
      </c>
      <c r="BC131" s="150">
        <f t="shared" si="99"/>
        <v>0</v>
      </c>
      <c r="BD131" s="150">
        <f t="shared" si="100"/>
        <v>0</v>
      </c>
      <c r="BE131" s="150">
        <f t="shared" si="101"/>
        <v>12850</v>
      </c>
      <c r="BF131" s="150">
        <f t="shared" si="130"/>
        <v>0</v>
      </c>
      <c r="BG131" s="150">
        <f t="shared" si="102"/>
        <v>0</v>
      </c>
      <c r="BH131" s="150">
        <f t="shared" si="103"/>
        <v>0</v>
      </c>
      <c r="BI131" s="150">
        <f t="shared" si="104"/>
        <v>0</v>
      </c>
      <c r="BJ131" s="150">
        <f t="shared" si="105"/>
        <v>0</v>
      </c>
      <c r="BK131" s="150">
        <f t="shared" si="131"/>
        <v>115000</v>
      </c>
      <c r="BL131" s="150">
        <f t="shared" si="106"/>
        <v>575</v>
      </c>
      <c r="BM131" s="150">
        <f t="shared" si="107"/>
        <v>0</v>
      </c>
      <c r="BN131" s="150">
        <f t="shared" si="108"/>
        <v>0</v>
      </c>
      <c r="BO131" s="150">
        <f t="shared" si="109"/>
        <v>115000</v>
      </c>
      <c r="BP131" s="150">
        <f t="shared" si="132"/>
        <v>12000</v>
      </c>
      <c r="BQ131" s="150">
        <f t="shared" si="110"/>
        <v>50</v>
      </c>
      <c r="BR131" s="150">
        <f t="shared" si="111"/>
        <v>0</v>
      </c>
      <c r="BS131" s="150">
        <f t="shared" si="112"/>
        <v>0</v>
      </c>
      <c r="BT131" s="150">
        <f t="shared" si="113"/>
        <v>12000</v>
      </c>
      <c r="BU131" s="150">
        <f t="shared" si="133"/>
        <v>4663.8599999999997</v>
      </c>
      <c r="BV131" s="150">
        <f t="shared" si="114"/>
        <v>62.18</v>
      </c>
      <c r="BW131" s="150">
        <f t="shared" si="115"/>
        <v>327.82</v>
      </c>
      <c r="BX131" s="150">
        <f t="shared" si="116"/>
        <v>0</v>
      </c>
      <c r="BY131" s="150">
        <f t="shared" si="117"/>
        <v>4336.04</v>
      </c>
      <c r="BZ131" s="147">
        <f t="shared" si="134"/>
        <v>210</v>
      </c>
      <c r="CA131" s="147">
        <f t="shared" si="135"/>
        <v>125583.16</v>
      </c>
    </row>
    <row r="132" spans="11:79">
      <c r="K132" s="132">
        <f t="shared" si="118"/>
        <v>80</v>
      </c>
      <c r="L132" s="148">
        <f t="shared" si="68"/>
        <v>48091</v>
      </c>
      <c r="M132" s="131">
        <f t="shared" si="119"/>
        <v>35000</v>
      </c>
      <c r="N132" s="131">
        <f t="shared" si="69"/>
        <v>641.66999999999996</v>
      </c>
      <c r="O132" s="131">
        <f t="shared" si="70"/>
        <v>0</v>
      </c>
      <c r="P132" s="131">
        <f t="shared" si="71"/>
        <v>0</v>
      </c>
      <c r="Q132" s="131">
        <f t="shared" si="72"/>
        <v>35000</v>
      </c>
      <c r="R132" s="131">
        <f t="shared" si="120"/>
        <v>11550</v>
      </c>
      <c r="S132" s="131">
        <f t="shared" si="73"/>
        <v>182.88</v>
      </c>
      <c r="T132" s="131">
        <f t="shared" si="74"/>
        <v>0</v>
      </c>
      <c r="U132" s="131">
        <f t="shared" si="75"/>
        <v>260</v>
      </c>
      <c r="V132" s="131">
        <f t="shared" si="76"/>
        <v>11290</v>
      </c>
      <c r="W132" s="131">
        <f t="shared" si="121"/>
        <v>0</v>
      </c>
      <c r="X132" s="131">
        <f t="shared" si="77"/>
        <v>0</v>
      </c>
      <c r="Y132" s="131">
        <f t="shared" si="78"/>
        <v>0</v>
      </c>
      <c r="Z132" s="131">
        <f t="shared" si="79"/>
        <v>0</v>
      </c>
      <c r="AA132" s="131">
        <f t="shared" si="80"/>
        <v>0</v>
      </c>
      <c r="AB132" s="131">
        <f t="shared" si="122"/>
        <v>115000</v>
      </c>
      <c r="AC132" s="131">
        <f t="shared" si="81"/>
        <v>575</v>
      </c>
      <c r="AD132" s="131">
        <f t="shared" si="82"/>
        <v>0</v>
      </c>
      <c r="AE132" s="131">
        <f t="shared" si="83"/>
        <v>0</v>
      </c>
      <c r="AF132" s="131">
        <f t="shared" si="84"/>
        <v>115000</v>
      </c>
      <c r="AG132" s="131">
        <f t="shared" si="123"/>
        <v>0</v>
      </c>
      <c r="AH132" s="131">
        <f t="shared" si="85"/>
        <v>0</v>
      </c>
      <c r="AI132" s="131">
        <f t="shared" si="86"/>
        <v>0</v>
      </c>
      <c r="AJ132" s="131">
        <f t="shared" si="87"/>
        <v>0</v>
      </c>
      <c r="AK132" s="131">
        <f t="shared" si="88"/>
        <v>0</v>
      </c>
      <c r="AL132" s="131">
        <f t="shared" si="124"/>
        <v>4336.04</v>
      </c>
      <c r="AM132" s="131">
        <f t="shared" si="89"/>
        <v>57.81</v>
      </c>
      <c r="AN132" s="131">
        <f t="shared" si="90"/>
        <v>332.19</v>
      </c>
      <c r="AO132" s="131">
        <f t="shared" si="91"/>
        <v>0</v>
      </c>
      <c r="AP132" s="131">
        <f t="shared" si="92"/>
        <v>4003.85</v>
      </c>
      <c r="AQ132" s="149">
        <f t="shared" si="125"/>
        <v>260</v>
      </c>
      <c r="AR132" s="149">
        <f t="shared" si="126"/>
        <v>131648.85</v>
      </c>
      <c r="AS132" s="133"/>
      <c r="AT132" s="132">
        <f t="shared" si="127"/>
        <v>80</v>
      </c>
      <c r="AU132" s="148">
        <f t="shared" si="93"/>
        <v>48091</v>
      </c>
      <c r="AV132" s="131">
        <f t="shared" si="128"/>
        <v>23030</v>
      </c>
      <c r="AW132" s="131">
        <f t="shared" si="94"/>
        <v>422.22</v>
      </c>
      <c r="AX132" s="131">
        <f t="shared" si="95"/>
        <v>0</v>
      </c>
      <c r="AY132" s="131">
        <f t="shared" si="96"/>
        <v>210</v>
      </c>
      <c r="AZ132" s="131">
        <f t="shared" si="97"/>
        <v>22820</v>
      </c>
      <c r="BA132" s="131">
        <f t="shared" si="129"/>
        <v>12850</v>
      </c>
      <c r="BB132" s="131">
        <f t="shared" si="98"/>
        <v>203.46</v>
      </c>
      <c r="BC132" s="131">
        <f t="shared" si="99"/>
        <v>0</v>
      </c>
      <c r="BD132" s="131">
        <f t="shared" si="100"/>
        <v>0</v>
      </c>
      <c r="BE132" s="131">
        <f t="shared" si="101"/>
        <v>12850</v>
      </c>
      <c r="BF132" s="131">
        <f t="shared" si="130"/>
        <v>0</v>
      </c>
      <c r="BG132" s="131">
        <f t="shared" si="102"/>
        <v>0</v>
      </c>
      <c r="BH132" s="131">
        <f t="shared" si="103"/>
        <v>0</v>
      </c>
      <c r="BI132" s="131">
        <f t="shared" si="104"/>
        <v>0</v>
      </c>
      <c r="BJ132" s="131">
        <f t="shared" si="105"/>
        <v>0</v>
      </c>
      <c r="BK132" s="131">
        <f t="shared" si="131"/>
        <v>115000</v>
      </c>
      <c r="BL132" s="131">
        <f t="shared" si="106"/>
        <v>575</v>
      </c>
      <c r="BM132" s="131">
        <f t="shared" si="107"/>
        <v>0</v>
      </c>
      <c r="BN132" s="131">
        <f t="shared" si="108"/>
        <v>0</v>
      </c>
      <c r="BO132" s="131">
        <f t="shared" si="109"/>
        <v>115000</v>
      </c>
      <c r="BP132" s="131">
        <f t="shared" si="132"/>
        <v>12000</v>
      </c>
      <c r="BQ132" s="131">
        <f t="shared" si="110"/>
        <v>50</v>
      </c>
      <c r="BR132" s="131">
        <f t="shared" si="111"/>
        <v>0</v>
      </c>
      <c r="BS132" s="131">
        <f t="shared" si="112"/>
        <v>0</v>
      </c>
      <c r="BT132" s="131">
        <f t="shared" si="113"/>
        <v>12000</v>
      </c>
      <c r="BU132" s="131">
        <f t="shared" si="133"/>
        <v>4336.04</v>
      </c>
      <c r="BV132" s="131">
        <f t="shared" si="114"/>
        <v>57.81</v>
      </c>
      <c r="BW132" s="131">
        <f t="shared" si="115"/>
        <v>332.19</v>
      </c>
      <c r="BX132" s="131">
        <f t="shared" si="116"/>
        <v>0</v>
      </c>
      <c r="BY132" s="131">
        <f t="shared" si="117"/>
        <v>4003.85</v>
      </c>
      <c r="BZ132" s="147">
        <f t="shared" si="134"/>
        <v>210</v>
      </c>
      <c r="CA132" s="147">
        <f t="shared" si="135"/>
        <v>126891.65000000001</v>
      </c>
    </row>
    <row r="133" spans="11:79">
      <c r="K133" s="152">
        <f t="shared" si="118"/>
        <v>81</v>
      </c>
      <c r="L133" s="151">
        <f t="shared" si="68"/>
        <v>48121</v>
      </c>
      <c r="M133" s="150">
        <f t="shared" si="119"/>
        <v>35000</v>
      </c>
      <c r="N133" s="150">
        <f t="shared" si="69"/>
        <v>641.66999999999996</v>
      </c>
      <c r="O133" s="150">
        <f t="shared" si="70"/>
        <v>0</v>
      </c>
      <c r="P133" s="150">
        <f t="shared" si="71"/>
        <v>0</v>
      </c>
      <c r="Q133" s="150">
        <f t="shared" si="72"/>
        <v>35000</v>
      </c>
      <c r="R133" s="150">
        <f t="shared" si="120"/>
        <v>11290</v>
      </c>
      <c r="S133" s="150">
        <f t="shared" si="73"/>
        <v>178.76</v>
      </c>
      <c r="T133" s="150">
        <f t="shared" si="74"/>
        <v>0</v>
      </c>
      <c r="U133" s="150">
        <f t="shared" si="75"/>
        <v>260</v>
      </c>
      <c r="V133" s="150">
        <f t="shared" si="76"/>
        <v>11030</v>
      </c>
      <c r="W133" s="150">
        <f t="shared" si="121"/>
        <v>0</v>
      </c>
      <c r="X133" s="150">
        <f t="shared" si="77"/>
        <v>0</v>
      </c>
      <c r="Y133" s="150">
        <f t="shared" si="78"/>
        <v>0</v>
      </c>
      <c r="Z133" s="150">
        <f t="shared" si="79"/>
        <v>0</v>
      </c>
      <c r="AA133" s="150">
        <f t="shared" si="80"/>
        <v>0</v>
      </c>
      <c r="AB133" s="150">
        <f t="shared" si="122"/>
        <v>115000</v>
      </c>
      <c r="AC133" s="150">
        <f t="shared" si="81"/>
        <v>575</v>
      </c>
      <c r="AD133" s="150">
        <f t="shared" si="82"/>
        <v>0</v>
      </c>
      <c r="AE133" s="150">
        <f t="shared" si="83"/>
        <v>0</v>
      </c>
      <c r="AF133" s="150">
        <f t="shared" si="84"/>
        <v>115000</v>
      </c>
      <c r="AG133" s="150">
        <f t="shared" si="123"/>
        <v>0</v>
      </c>
      <c r="AH133" s="150">
        <f t="shared" si="85"/>
        <v>0</v>
      </c>
      <c r="AI133" s="150">
        <f t="shared" si="86"/>
        <v>0</v>
      </c>
      <c r="AJ133" s="150">
        <f t="shared" si="87"/>
        <v>0</v>
      </c>
      <c r="AK133" s="150">
        <f t="shared" si="88"/>
        <v>0</v>
      </c>
      <c r="AL133" s="150">
        <f t="shared" si="124"/>
        <v>4003.85</v>
      </c>
      <c r="AM133" s="150">
        <f t="shared" si="89"/>
        <v>53.38</v>
      </c>
      <c r="AN133" s="150">
        <f t="shared" si="90"/>
        <v>336.62</v>
      </c>
      <c r="AO133" s="150">
        <f t="shared" si="91"/>
        <v>0</v>
      </c>
      <c r="AP133" s="150">
        <f t="shared" si="92"/>
        <v>3667.23</v>
      </c>
      <c r="AQ133" s="149">
        <f t="shared" si="125"/>
        <v>260</v>
      </c>
      <c r="AR133" s="149">
        <f t="shared" si="126"/>
        <v>133097.66</v>
      </c>
      <c r="AS133" s="133"/>
      <c r="AT133" s="152">
        <f t="shared" si="127"/>
        <v>81</v>
      </c>
      <c r="AU133" s="151">
        <f t="shared" si="93"/>
        <v>48121</v>
      </c>
      <c r="AV133" s="150">
        <f t="shared" si="128"/>
        <v>22820</v>
      </c>
      <c r="AW133" s="150">
        <f t="shared" si="94"/>
        <v>418.37</v>
      </c>
      <c r="AX133" s="150">
        <f t="shared" si="95"/>
        <v>0</v>
      </c>
      <c r="AY133" s="150">
        <f t="shared" si="96"/>
        <v>210</v>
      </c>
      <c r="AZ133" s="150">
        <f t="shared" si="97"/>
        <v>22610</v>
      </c>
      <c r="BA133" s="150">
        <f t="shared" si="129"/>
        <v>12850</v>
      </c>
      <c r="BB133" s="150">
        <f t="shared" si="98"/>
        <v>203.46</v>
      </c>
      <c r="BC133" s="150">
        <f t="shared" si="99"/>
        <v>0</v>
      </c>
      <c r="BD133" s="150">
        <f t="shared" si="100"/>
        <v>0</v>
      </c>
      <c r="BE133" s="150">
        <f t="shared" si="101"/>
        <v>12850</v>
      </c>
      <c r="BF133" s="150">
        <f t="shared" si="130"/>
        <v>0</v>
      </c>
      <c r="BG133" s="150">
        <f t="shared" si="102"/>
        <v>0</v>
      </c>
      <c r="BH133" s="150">
        <f t="shared" si="103"/>
        <v>0</v>
      </c>
      <c r="BI133" s="150">
        <f t="shared" si="104"/>
        <v>0</v>
      </c>
      <c r="BJ133" s="150">
        <f t="shared" si="105"/>
        <v>0</v>
      </c>
      <c r="BK133" s="150">
        <f t="shared" si="131"/>
        <v>115000</v>
      </c>
      <c r="BL133" s="150">
        <f t="shared" si="106"/>
        <v>575</v>
      </c>
      <c r="BM133" s="150">
        <f t="shared" si="107"/>
        <v>0</v>
      </c>
      <c r="BN133" s="150">
        <f t="shared" si="108"/>
        <v>0</v>
      </c>
      <c r="BO133" s="150">
        <f t="shared" si="109"/>
        <v>115000</v>
      </c>
      <c r="BP133" s="150">
        <f t="shared" si="132"/>
        <v>12000</v>
      </c>
      <c r="BQ133" s="150">
        <f t="shared" si="110"/>
        <v>50</v>
      </c>
      <c r="BR133" s="150">
        <f t="shared" si="111"/>
        <v>0</v>
      </c>
      <c r="BS133" s="150">
        <f t="shared" si="112"/>
        <v>0</v>
      </c>
      <c r="BT133" s="150">
        <f t="shared" si="113"/>
        <v>12000</v>
      </c>
      <c r="BU133" s="150">
        <f t="shared" si="133"/>
        <v>4003.85</v>
      </c>
      <c r="BV133" s="150">
        <f t="shared" si="114"/>
        <v>53.38</v>
      </c>
      <c r="BW133" s="150">
        <f t="shared" si="115"/>
        <v>336.62</v>
      </c>
      <c r="BX133" s="150">
        <f t="shared" si="116"/>
        <v>0</v>
      </c>
      <c r="BY133" s="150">
        <f t="shared" si="117"/>
        <v>3667.23</v>
      </c>
      <c r="BZ133" s="147">
        <f t="shared" si="134"/>
        <v>210</v>
      </c>
      <c r="CA133" s="147">
        <f t="shared" si="135"/>
        <v>128191.86000000002</v>
      </c>
    </row>
    <row r="134" spans="11:79">
      <c r="K134" s="132">
        <f t="shared" si="118"/>
        <v>82</v>
      </c>
      <c r="L134" s="148">
        <f t="shared" si="68"/>
        <v>48152</v>
      </c>
      <c r="M134" s="131">
        <f t="shared" si="119"/>
        <v>35000</v>
      </c>
      <c r="N134" s="131">
        <f t="shared" si="69"/>
        <v>641.66999999999996</v>
      </c>
      <c r="O134" s="131">
        <f t="shared" si="70"/>
        <v>0</v>
      </c>
      <c r="P134" s="131">
        <f t="shared" si="71"/>
        <v>0</v>
      </c>
      <c r="Q134" s="131">
        <f t="shared" si="72"/>
        <v>35000</v>
      </c>
      <c r="R134" s="131">
        <f t="shared" si="120"/>
        <v>11030</v>
      </c>
      <c r="S134" s="131">
        <f t="shared" si="73"/>
        <v>174.64</v>
      </c>
      <c r="T134" s="131">
        <f t="shared" si="74"/>
        <v>0</v>
      </c>
      <c r="U134" s="131">
        <f t="shared" si="75"/>
        <v>260</v>
      </c>
      <c r="V134" s="131">
        <f t="shared" si="76"/>
        <v>10770</v>
      </c>
      <c r="W134" s="131">
        <f t="shared" si="121"/>
        <v>0</v>
      </c>
      <c r="X134" s="131">
        <f t="shared" si="77"/>
        <v>0</v>
      </c>
      <c r="Y134" s="131">
        <f t="shared" si="78"/>
        <v>0</v>
      </c>
      <c r="Z134" s="131">
        <f t="shared" si="79"/>
        <v>0</v>
      </c>
      <c r="AA134" s="131">
        <f t="shared" si="80"/>
        <v>0</v>
      </c>
      <c r="AB134" s="131">
        <f t="shared" si="122"/>
        <v>115000</v>
      </c>
      <c r="AC134" s="131">
        <f t="shared" si="81"/>
        <v>575</v>
      </c>
      <c r="AD134" s="131">
        <f t="shared" si="82"/>
        <v>0</v>
      </c>
      <c r="AE134" s="131">
        <f t="shared" si="83"/>
        <v>0</v>
      </c>
      <c r="AF134" s="131">
        <f t="shared" si="84"/>
        <v>115000</v>
      </c>
      <c r="AG134" s="131">
        <f t="shared" si="123"/>
        <v>0</v>
      </c>
      <c r="AH134" s="131">
        <f t="shared" si="85"/>
        <v>0</v>
      </c>
      <c r="AI134" s="131">
        <f t="shared" si="86"/>
        <v>0</v>
      </c>
      <c r="AJ134" s="131">
        <f t="shared" si="87"/>
        <v>0</v>
      </c>
      <c r="AK134" s="131">
        <f t="shared" si="88"/>
        <v>0</v>
      </c>
      <c r="AL134" s="131">
        <f t="shared" si="124"/>
        <v>3667.23</v>
      </c>
      <c r="AM134" s="131">
        <f t="shared" si="89"/>
        <v>48.9</v>
      </c>
      <c r="AN134" s="131">
        <f t="shared" si="90"/>
        <v>341.1</v>
      </c>
      <c r="AO134" s="131">
        <f t="shared" si="91"/>
        <v>0</v>
      </c>
      <c r="AP134" s="131">
        <f t="shared" si="92"/>
        <v>3326.13</v>
      </c>
      <c r="AQ134" s="149">
        <f t="shared" si="125"/>
        <v>260</v>
      </c>
      <c r="AR134" s="149">
        <f t="shared" si="126"/>
        <v>134537.87</v>
      </c>
      <c r="AS134" s="133"/>
      <c r="AT134" s="132">
        <f t="shared" si="127"/>
        <v>82</v>
      </c>
      <c r="AU134" s="148">
        <f t="shared" si="93"/>
        <v>48152</v>
      </c>
      <c r="AV134" s="131">
        <f t="shared" si="128"/>
        <v>22610</v>
      </c>
      <c r="AW134" s="131">
        <f t="shared" si="94"/>
        <v>414.52</v>
      </c>
      <c r="AX134" s="131">
        <f t="shared" si="95"/>
        <v>0</v>
      </c>
      <c r="AY134" s="131">
        <f t="shared" si="96"/>
        <v>210</v>
      </c>
      <c r="AZ134" s="131">
        <f t="shared" si="97"/>
        <v>22400</v>
      </c>
      <c r="BA134" s="131">
        <f t="shared" si="129"/>
        <v>12850</v>
      </c>
      <c r="BB134" s="131">
        <f t="shared" si="98"/>
        <v>203.46</v>
      </c>
      <c r="BC134" s="131">
        <f t="shared" si="99"/>
        <v>0</v>
      </c>
      <c r="BD134" s="131">
        <f t="shared" si="100"/>
        <v>0</v>
      </c>
      <c r="BE134" s="131">
        <f t="shared" si="101"/>
        <v>12850</v>
      </c>
      <c r="BF134" s="131">
        <f t="shared" si="130"/>
        <v>0</v>
      </c>
      <c r="BG134" s="131">
        <f t="shared" si="102"/>
        <v>0</v>
      </c>
      <c r="BH134" s="131">
        <f t="shared" si="103"/>
        <v>0</v>
      </c>
      <c r="BI134" s="131">
        <f t="shared" si="104"/>
        <v>0</v>
      </c>
      <c r="BJ134" s="131">
        <f t="shared" si="105"/>
        <v>0</v>
      </c>
      <c r="BK134" s="131">
        <f t="shared" si="131"/>
        <v>115000</v>
      </c>
      <c r="BL134" s="131">
        <f t="shared" si="106"/>
        <v>575</v>
      </c>
      <c r="BM134" s="131">
        <f t="shared" si="107"/>
        <v>0</v>
      </c>
      <c r="BN134" s="131">
        <f t="shared" si="108"/>
        <v>0</v>
      </c>
      <c r="BO134" s="131">
        <f t="shared" si="109"/>
        <v>115000</v>
      </c>
      <c r="BP134" s="131">
        <f t="shared" si="132"/>
        <v>12000</v>
      </c>
      <c r="BQ134" s="131">
        <f t="shared" si="110"/>
        <v>50</v>
      </c>
      <c r="BR134" s="131">
        <f t="shared" si="111"/>
        <v>0</v>
      </c>
      <c r="BS134" s="131">
        <f t="shared" si="112"/>
        <v>0</v>
      </c>
      <c r="BT134" s="131">
        <f t="shared" si="113"/>
        <v>12000</v>
      </c>
      <c r="BU134" s="131">
        <f t="shared" si="133"/>
        <v>3667.23</v>
      </c>
      <c r="BV134" s="131">
        <f t="shared" si="114"/>
        <v>48.9</v>
      </c>
      <c r="BW134" s="131">
        <f t="shared" si="115"/>
        <v>341.1</v>
      </c>
      <c r="BX134" s="131">
        <f t="shared" si="116"/>
        <v>0</v>
      </c>
      <c r="BY134" s="131">
        <f t="shared" si="117"/>
        <v>3326.13</v>
      </c>
      <c r="BZ134" s="147">
        <f t="shared" si="134"/>
        <v>210</v>
      </c>
      <c r="CA134" s="147">
        <f t="shared" si="135"/>
        <v>129483.74000000002</v>
      </c>
    </row>
    <row r="135" spans="11:79">
      <c r="K135" s="152">
        <f t="shared" si="118"/>
        <v>83</v>
      </c>
      <c r="L135" s="151">
        <f t="shared" si="68"/>
        <v>48182</v>
      </c>
      <c r="M135" s="150">
        <f t="shared" si="119"/>
        <v>35000</v>
      </c>
      <c r="N135" s="150">
        <f t="shared" si="69"/>
        <v>641.66999999999996</v>
      </c>
      <c r="O135" s="150">
        <f t="shared" si="70"/>
        <v>0</v>
      </c>
      <c r="P135" s="150">
        <f t="shared" si="71"/>
        <v>0</v>
      </c>
      <c r="Q135" s="150">
        <f t="shared" si="72"/>
        <v>35000</v>
      </c>
      <c r="R135" s="150">
        <f t="shared" si="120"/>
        <v>10770</v>
      </c>
      <c r="S135" s="150">
        <f t="shared" si="73"/>
        <v>170.53</v>
      </c>
      <c r="T135" s="150">
        <f t="shared" si="74"/>
        <v>0</v>
      </c>
      <c r="U135" s="150">
        <f t="shared" si="75"/>
        <v>260</v>
      </c>
      <c r="V135" s="150">
        <f t="shared" si="76"/>
        <v>10510</v>
      </c>
      <c r="W135" s="150">
        <f t="shared" si="121"/>
        <v>0</v>
      </c>
      <c r="X135" s="150">
        <f t="shared" si="77"/>
        <v>0</v>
      </c>
      <c r="Y135" s="150">
        <f t="shared" si="78"/>
        <v>0</v>
      </c>
      <c r="Z135" s="150">
        <f t="shared" si="79"/>
        <v>0</v>
      </c>
      <c r="AA135" s="150">
        <f t="shared" si="80"/>
        <v>0</v>
      </c>
      <c r="AB135" s="150">
        <f t="shared" si="122"/>
        <v>115000</v>
      </c>
      <c r="AC135" s="150">
        <f t="shared" si="81"/>
        <v>575</v>
      </c>
      <c r="AD135" s="150">
        <f t="shared" si="82"/>
        <v>0</v>
      </c>
      <c r="AE135" s="150">
        <f t="shared" si="83"/>
        <v>0</v>
      </c>
      <c r="AF135" s="150">
        <f t="shared" si="84"/>
        <v>115000</v>
      </c>
      <c r="AG135" s="150">
        <f t="shared" si="123"/>
        <v>0</v>
      </c>
      <c r="AH135" s="150">
        <f t="shared" si="85"/>
        <v>0</v>
      </c>
      <c r="AI135" s="150">
        <f t="shared" si="86"/>
        <v>0</v>
      </c>
      <c r="AJ135" s="150">
        <f t="shared" si="87"/>
        <v>0</v>
      </c>
      <c r="AK135" s="150">
        <f t="shared" si="88"/>
        <v>0</v>
      </c>
      <c r="AL135" s="150">
        <f t="shared" si="124"/>
        <v>3326.13</v>
      </c>
      <c r="AM135" s="150">
        <f t="shared" si="89"/>
        <v>44.35</v>
      </c>
      <c r="AN135" s="150">
        <f t="shared" si="90"/>
        <v>345.65</v>
      </c>
      <c r="AO135" s="150">
        <f t="shared" si="91"/>
        <v>0</v>
      </c>
      <c r="AP135" s="150">
        <f t="shared" si="92"/>
        <v>2980.48</v>
      </c>
      <c r="AQ135" s="149">
        <f t="shared" si="125"/>
        <v>260</v>
      </c>
      <c r="AR135" s="149">
        <f t="shared" si="126"/>
        <v>135969.41999999998</v>
      </c>
      <c r="AS135" s="133"/>
      <c r="AT135" s="152">
        <f t="shared" si="127"/>
        <v>83</v>
      </c>
      <c r="AU135" s="151">
        <f t="shared" si="93"/>
        <v>48182</v>
      </c>
      <c r="AV135" s="150">
        <f t="shared" si="128"/>
        <v>22400</v>
      </c>
      <c r="AW135" s="150">
        <f t="shared" si="94"/>
        <v>410.67</v>
      </c>
      <c r="AX135" s="150">
        <f t="shared" si="95"/>
        <v>0</v>
      </c>
      <c r="AY135" s="150">
        <f t="shared" si="96"/>
        <v>210</v>
      </c>
      <c r="AZ135" s="150">
        <f t="shared" si="97"/>
        <v>22190</v>
      </c>
      <c r="BA135" s="150">
        <f t="shared" si="129"/>
        <v>12850</v>
      </c>
      <c r="BB135" s="150">
        <f t="shared" si="98"/>
        <v>203.46</v>
      </c>
      <c r="BC135" s="150">
        <f t="shared" si="99"/>
        <v>0</v>
      </c>
      <c r="BD135" s="150">
        <f t="shared" si="100"/>
        <v>0</v>
      </c>
      <c r="BE135" s="150">
        <f t="shared" si="101"/>
        <v>12850</v>
      </c>
      <c r="BF135" s="150">
        <f t="shared" si="130"/>
        <v>0</v>
      </c>
      <c r="BG135" s="150">
        <f t="shared" si="102"/>
        <v>0</v>
      </c>
      <c r="BH135" s="150">
        <f t="shared" si="103"/>
        <v>0</v>
      </c>
      <c r="BI135" s="150">
        <f t="shared" si="104"/>
        <v>0</v>
      </c>
      <c r="BJ135" s="150">
        <f t="shared" si="105"/>
        <v>0</v>
      </c>
      <c r="BK135" s="150">
        <f t="shared" si="131"/>
        <v>115000</v>
      </c>
      <c r="BL135" s="150">
        <f t="shared" si="106"/>
        <v>575</v>
      </c>
      <c r="BM135" s="150">
        <f t="shared" si="107"/>
        <v>0</v>
      </c>
      <c r="BN135" s="150">
        <f t="shared" si="108"/>
        <v>0</v>
      </c>
      <c r="BO135" s="150">
        <f t="shared" si="109"/>
        <v>115000</v>
      </c>
      <c r="BP135" s="150">
        <f t="shared" si="132"/>
        <v>12000</v>
      </c>
      <c r="BQ135" s="150">
        <f t="shared" si="110"/>
        <v>50</v>
      </c>
      <c r="BR135" s="150">
        <f t="shared" si="111"/>
        <v>0</v>
      </c>
      <c r="BS135" s="150">
        <f t="shared" si="112"/>
        <v>0</v>
      </c>
      <c r="BT135" s="150">
        <f t="shared" si="113"/>
        <v>12000</v>
      </c>
      <c r="BU135" s="150">
        <f t="shared" si="133"/>
        <v>3326.13</v>
      </c>
      <c r="BV135" s="150">
        <f t="shared" si="114"/>
        <v>44.35</v>
      </c>
      <c r="BW135" s="150">
        <f t="shared" si="115"/>
        <v>345.65</v>
      </c>
      <c r="BX135" s="150">
        <f t="shared" si="116"/>
        <v>0</v>
      </c>
      <c r="BY135" s="150">
        <f t="shared" si="117"/>
        <v>2980.48</v>
      </c>
      <c r="BZ135" s="147">
        <f t="shared" si="134"/>
        <v>210</v>
      </c>
      <c r="CA135" s="147">
        <f t="shared" si="135"/>
        <v>130767.22000000002</v>
      </c>
    </row>
    <row r="136" spans="11:79">
      <c r="K136" s="132">
        <f t="shared" si="118"/>
        <v>84</v>
      </c>
      <c r="L136" s="148">
        <f t="shared" si="68"/>
        <v>48213</v>
      </c>
      <c r="M136" s="131">
        <f t="shared" si="119"/>
        <v>35000</v>
      </c>
      <c r="N136" s="131">
        <f t="shared" si="69"/>
        <v>641.66999999999996</v>
      </c>
      <c r="O136" s="131">
        <f t="shared" si="70"/>
        <v>0</v>
      </c>
      <c r="P136" s="131">
        <f t="shared" si="71"/>
        <v>0</v>
      </c>
      <c r="Q136" s="131">
        <f t="shared" si="72"/>
        <v>35000</v>
      </c>
      <c r="R136" s="131">
        <f t="shared" si="120"/>
        <v>10510</v>
      </c>
      <c r="S136" s="131">
        <f t="shared" si="73"/>
        <v>166.41</v>
      </c>
      <c r="T136" s="131">
        <f t="shared" si="74"/>
        <v>0</v>
      </c>
      <c r="U136" s="131">
        <f t="shared" si="75"/>
        <v>260</v>
      </c>
      <c r="V136" s="131">
        <f t="shared" si="76"/>
        <v>10250</v>
      </c>
      <c r="W136" s="131">
        <f t="shared" si="121"/>
        <v>0</v>
      </c>
      <c r="X136" s="131">
        <f t="shared" si="77"/>
        <v>0</v>
      </c>
      <c r="Y136" s="131">
        <f t="shared" si="78"/>
        <v>0</v>
      </c>
      <c r="Z136" s="131">
        <f t="shared" si="79"/>
        <v>0</v>
      </c>
      <c r="AA136" s="131">
        <f t="shared" si="80"/>
        <v>0</v>
      </c>
      <c r="AB136" s="131">
        <f t="shared" si="122"/>
        <v>115000</v>
      </c>
      <c r="AC136" s="131">
        <f t="shared" si="81"/>
        <v>575</v>
      </c>
      <c r="AD136" s="131">
        <f t="shared" si="82"/>
        <v>0</v>
      </c>
      <c r="AE136" s="131">
        <f t="shared" si="83"/>
        <v>0</v>
      </c>
      <c r="AF136" s="131">
        <f t="shared" si="84"/>
        <v>115000</v>
      </c>
      <c r="AG136" s="131">
        <f t="shared" si="123"/>
        <v>0</v>
      </c>
      <c r="AH136" s="131">
        <f t="shared" si="85"/>
        <v>0</v>
      </c>
      <c r="AI136" s="131">
        <f t="shared" si="86"/>
        <v>0</v>
      </c>
      <c r="AJ136" s="131">
        <f t="shared" si="87"/>
        <v>0</v>
      </c>
      <c r="AK136" s="131">
        <f t="shared" si="88"/>
        <v>0</v>
      </c>
      <c r="AL136" s="131">
        <f t="shared" si="124"/>
        <v>2980.48</v>
      </c>
      <c r="AM136" s="131">
        <f t="shared" si="89"/>
        <v>39.74</v>
      </c>
      <c r="AN136" s="131">
        <f t="shared" si="90"/>
        <v>350.26</v>
      </c>
      <c r="AO136" s="131">
        <f t="shared" si="91"/>
        <v>0</v>
      </c>
      <c r="AP136" s="131">
        <f t="shared" si="92"/>
        <v>2630.22</v>
      </c>
      <c r="AQ136" s="149">
        <f t="shared" si="125"/>
        <v>260</v>
      </c>
      <c r="AR136" s="149">
        <f t="shared" si="126"/>
        <v>137392.24</v>
      </c>
      <c r="AS136" s="133"/>
      <c r="AT136" s="132">
        <f t="shared" si="127"/>
        <v>84</v>
      </c>
      <c r="AU136" s="148">
        <f t="shared" si="93"/>
        <v>48213</v>
      </c>
      <c r="AV136" s="131">
        <f t="shared" si="128"/>
        <v>22190</v>
      </c>
      <c r="AW136" s="131">
        <f t="shared" si="94"/>
        <v>406.82</v>
      </c>
      <c r="AX136" s="131">
        <f t="shared" si="95"/>
        <v>0</v>
      </c>
      <c r="AY136" s="131">
        <f t="shared" si="96"/>
        <v>210</v>
      </c>
      <c r="AZ136" s="131">
        <f t="shared" si="97"/>
        <v>21980</v>
      </c>
      <c r="BA136" s="131">
        <f t="shared" si="129"/>
        <v>12850</v>
      </c>
      <c r="BB136" s="131">
        <f t="shared" si="98"/>
        <v>203.46</v>
      </c>
      <c r="BC136" s="131">
        <f t="shared" si="99"/>
        <v>0</v>
      </c>
      <c r="BD136" s="131">
        <f t="shared" si="100"/>
        <v>0</v>
      </c>
      <c r="BE136" s="131">
        <f t="shared" si="101"/>
        <v>12850</v>
      </c>
      <c r="BF136" s="131">
        <f t="shared" si="130"/>
        <v>0</v>
      </c>
      <c r="BG136" s="131">
        <f t="shared" si="102"/>
        <v>0</v>
      </c>
      <c r="BH136" s="131">
        <f t="shared" si="103"/>
        <v>0</v>
      </c>
      <c r="BI136" s="131">
        <f t="shared" si="104"/>
        <v>0</v>
      </c>
      <c r="BJ136" s="131">
        <f t="shared" si="105"/>
        <v>0</v>
      </c>
      <c r="BK136" s="131">
        <f t="shared" si="131"/>
        <v>115000</v>
      </c>
      <c r="BL136" s="131">
        <f t="shared" si="106"/>
        <v>575</v>
      </c>
      <c r="BM136" s="131">
        <f t="shared" si="107"/>
        <v>0</v>
      </c>
      <c r="BN136" s="131">
        <f t="shared" si="108"/>
        <v>0</v>
      </c>
      <c r="BO136" s="131">
        <f t="shared" si="109"/>
        <v>115000</v>
      </c>
      <c r="BP136" s="131">
        <f t="shared" si="132"/>
        <v>12000</v>
      </c>
      <c r="BQ136" s="131">
        <f t="shared" si="110"/>
        <v>50</v>
      </c>
      <c r="BR136" s="131">
        <f t="shared" si="111"/>
        <v>0</v>
      </c>
      <c r="BS136" s="131">
        <f t="shared" si="112"/>
        <v>0</v>
      </c>
      <c r="BT136" s="131">
        <f t="shared" si="113"/>
        <v>12000</v>
      </c>
      <c r="BU136" s="131">
        <f t="shared" si="133"/>
        <v>2980.48</v>
      </c>
      <c r="BV136" s="131">
        <f t="shared" si="114"/>
        <v>39.74</v>
      </c>
      <c r="BW136" s="131">
        <f t="shared" si="115"/>
        <v>350.26</v>
      </c>
      <c r="BX136" s="131">
        <f t="shared" si="116"/>
        <v>0</v>
      </c>
      <c r="BY136" s="131">
        <f t="shared" si="117"/>
        <v>2630.22</v>
      </c>
      <c r="BZ136" s="147">
        <f t="shared" si="134"/>
        <v>210</v>
      </c>
      <c r="CA136" s="147">
        <f t="shared" si="135"/>
        <v>132042.24000000002</v>
      </c>
    </row>
    <row r="137" spans="11:79">
      <c r="K137" s="152">
        <f t="shared" si="118"/>
        <v>85</v>
      </c>
      <c r="L137" s="151">
        <f t="shared" si="68"/>
        <v>48244</v>
      </c>
      <c r="M137" s="150">
        <f t="shared" si="119"/>
        <v>35000</v>
      </c>
      <c r="N137" s="150">
        <f t="shared" si="69"/>
        <v>641.66999999999996</v>
      </c>
      <c r="O137" s="150">
        <f t="shared" si="70"/>
        <v>0</v>
      </c>
      <c r="P137" s="150">
        <f t="shared" si="71"/>
        <v>0</v>
      </c>
      <c r="Q137" s="150">
        <f t="shared" si="72"/>
        <v>35000</v>
      </c>
      <c r="R137" s="150">
        <f t="shared" si="120"/>
        <v>10250</v>
      </c>
      <c r="S137" s="150">
        <f t="shared" si="73"/>
        <v>162.29</v>
      </c>
      <c r="T137" s="150">
        <f t="shared" si="74"/>
        <v>0</v>
      </c>
      <c r="U137" s="150">
        <f t="shared" si="75"/>
        <v>260</v>
      </c>
      <c r="V137" s="150">
        <f t="shared" si="76"/>
        <v>9990</v>
      </c>
      <c r="W137" s="150">
        <f t="shared" si="121"/>
        <v>0</v>
      </c>
      <c r="X137" s="150">
        <f t="shared" si="77"/>
        <v>0</v>
      </c>
      <c r="Y137" s="150">
        <f t="shared" si="78"/>
        <v>0</v>
      </c>
      <c r="Z137" s="150">
        <f t="shared" si="79"/>
        <v>0</v>
      </c>
      <c r="AA137" s="150">
        <f t="shared" si="80"/>
        <v>0</v>
      </c>
      <c r="AB137" s="150">
        <f t="shared" si="122"/>
        <v>115000</v>
      </c>
      <c r="AC137" s="150">
        <f t="shared" si="81"/>
        <v>575</v>
      </c>
      <c r="AD137" s="150">
        <f t="shared" si="82"/>
        <v>0</v>
      </c>
      <c r="AE137" s="150">
        <f t="shared" si="83"/>
        <v>0</v>
      </c>
      <c r="AF137" s="150">
        <f t="shared" si="84"/>
        <v>115000</v>
      </c>
      <c r="AG137" s="150">
        <f t="shared" si="123"/>
        <v>0</v>
      </c>
      <c r="AH137" s="150">
        <f t="shared" si="85"/>
        <v>0</v>
      </c>
      <c r="AI137" s="150">
        <f t="shared" si="86"/>
        <v>0</v>
      </c>
      <c r="AJ137" s="150">
        <f t="shared" si="87"/>
        <v>0</v>
      </c>
      <c r="AK137" s="150">
        <f t="shared" si="88"/>
        <v>0</v>
      </c>
      <c r="AL137" s="150">
        <f t="shared" si="124"/>
        <v>2630.22</v>
      </c>
      <c r="AM137" s="150">
        <f t="shared" si="89"/>
        <v>35.07</v>
      </c>
      <c r="AN137" s="150">
        <f t="shared" si="90"/>
        <v>354.93</v>
      </c>
      <c r="AO137" s="150">
        <f t="shared" si="91"/>
        <v>0</v>
      </c>
      <c r="AP137" s="150">
        <f t="shared" si="92"/>
        <v>2275.29</v>
      </c>
      <c r="AQ137" s="149">
        <f t="shared" si="125"/>
        <v>260</v>
      </c>
      <c r="AR137" s="149">
        <f t="shared" si="126"/>
        <v>138806.26999999999</v>
      </c>
      <c r="AS137" s="133"/>
      <c r="AT137" s="152">
        <f t="shared" si="127"/>
        <v>85</v>
      </c>
      <c r="AU137" s="151">
        <f t="shared" si="93"/>
        <v>48244</v>
      </c>
      <c r="AV137" s="150">
        <f t="shared" si="128"/>
        <v>21980</v>
      </c>
      <c r="AW137" s="150">
        <f t="shared" si="94"/>
        <v>402.97</v>
      </c>
      <c r="AX137" s="150">
        <f t="shared" si="95"/>
        <v>0</v>
      </c>
      <c r="AY137" s="150">
        <f t="shared" si="96"/>
        <v>210</v>
      </c>
      <c r="AZ137" s="150">
        <f t="shared" si="97"/>
        <v>21770</v>
      </c>
      <c r="BA137" s="150">
        <f t="shared" si="129"/>
        <v>12850</v>
      </c>
      <c r="BB137" s="150">
        <f t="shared" si="98"/>
        <v>203.46</v>
      </c>
      <c r="BC137" s="150">
        <f t="shared" si="99"/>
        <v>0</v>
      </c>
      <c r="BD137" s="150">
        <f t="shared" si="100"/>
        <v>0</v>
      </c>
      <c r="BE137" s="150">
        <f t="shared" si="101"/>
        <v>12850</v>
      </c>
      <c r="BF137" s="150">
        <f t="shared" si="130"/>
        <v>0</v>
      </c>
      <c r="BG137" s="150">
        <f t="shared" si="102"/>
        <v>0</v>
      </c>
      <c r="BH137" s="150">
        <f t="shared" si="103"/>
        <v>0</v>
      </c>
      <c r="BI137" s="150">
        <f t="shared" si="104"/>
        <v>0</v>
      </c>
      <c r="BJ137" s="150">
        <f t="shared" si="105"/>
        <v>0</v>
      </c>
      <c r="BK137" s="150">
        <f t="shared" si="131"/>
        <v>115000</v>
      </c>
      <c r="BL137" s="150">
        <f t="shared" si="106"/>
        <v>575</v>
      </c>
      <c r="BM137" s="150">
        <f t="shared" si="107"/>
        <v>0</v>
      </c>
      <c r="BN137" s="150">
        <f t="shared" si="108"/>
        <v>0</v>
      </c>
      <c r="BO137" s="150">
        <f t="shared" si="109"/>
        <v>115000</v>
      </c>
      <c r="BP137" s="150">
        <f t="shared" si="132"/>
        <v>12000</v>
      </c>
      <c r="BQ137" s="150">
        <f t="shared" si="110"/>
        <v>50</v>
      </c>
      <c r="BR137" s="150">
        <f t="shared" si="111"/>
        <v>0</v>
      </c>
      <c r="BS137" s="150">
        <f t="shared" si="112"/>
        <v>0</v>
      </c>
      <c r="BT137" s="150">
        <f t="shared" si="113"/>
        <v>12000</v>
      </c>
      <c r="BU137" s="150">
        <f t="shared" si="133"/>
        <v>2630.22</v>
      </c>
      <c r="BV137" s="150">
        <f t="shared" si="114"/>
        <v>35.07</v>
      </c>
      <c r="BW137" s="150">
        <f t="shared" si="115"/>
        <v>354.93</v>
      </c>
      <c r="BX137" s="150">
        <f t="shared" si="116"/>
        <v>0</v>
      </c>
      <c r="BY137" s="150">
        <f t="shared" si="117"/>
        <v>2275.29</v>
      </c>
      <c r="BZ137" s="147">
        <f t="shared" si="134"/>
        <v>210</v>
      </c>
      <c r="CA137" s="147">
        <f t="shared" si="135"/>
        <v>133308.74000000002</v>
      </c>
    </row>
    <row r="138" spans="11:79">
      <c r="K138" s="132">
        <f t="shared" si="118"/>
        <v>86</v>
      </c>
      <c r="L138" s="148">
        <f t="shared" si="68"/>
        <v>48273</v>
      </c>
      <c r="M138" s="131">
        <f t="shared" si="119"/>
        <v>35000</v>
      </c>
      <c r="N138" s="131">
        <f t="shared" si="69"/>
        <v>641.66999999999996</v>
      </c>
      <c r="O138" s="131">
        <f t="shared" si="70"/>
        <v>0</v>
      </c>
      <c r="P138" s="131">
        <f t="shared" si="71"/>
        <v>0</v>
      </c>
      <c r="Q138" s="131">
        <f t="shared" si="72"/>
        <v>35000</v>
      </c>
      <c r="R138" s="131">
        <f t="shared" si="120"/>
        <v>9990</v>
      </c>
      <c r="S138" s="131">
        <f t="shared" si="73"/>
        <v>158.18</v>
      </c>
      <c r="T138" s="131">
        <f t="shared" si="74"/>
        <v>0</v>
      </c>
      <c r="U138" s="131">
        <f t="shared" si="75"/>
        <v>260</v>
      </c>
      <c r="V138" s="131">
        <f t="shared" si="76"/>
        <v>9730</v>
      </c>
      <c r="W138" s="131">
        <f t="shared" si="121"/>
        <v>0</v>
      </c>
      <c r="X138" s="131">
        <f t="shared" si="77"/>
        <v>0</v>
      </c>
      <c r="Y138" s="131">
        <f t="shared" si="78"/>
        <v>0</v>
      </c>
      <c r="Z138" s="131">
        <f t="shared" si="79"/>
        <v>0</v>
      </c>
      <c r="AA138" s="131">
        <f t="shared" si="80"/>
        <v>0</v>
      </c>
      <c r="AB138" s="131">
        <f t="shared" si="122"/>
        <v>115000</v>
      </c>
      <c r="AC138" s="131">
        <f t="shared" si="81"/>
        <v>575</v>
      </c>
      <c r="AD138" s="131">
        <f t="shared" si="82"/>
        <v>0</v>
      </c>
      <c r="AE138" s="131">
        <f t="shared" si="83"/>
        <v>0</v>
      </c>
      <c r="AF138" s="131">
        <f t="shared" si="84"/>
        <v>115000</v>
      </c>
      <c r="AG138" s="131">
        <f t="shared" si="123"/>
        <v>0</v>
      </c>
      <c r="AH138" s="131">
        <f t="shared" si="85"/>
        <v>0</v>
      </c>
      <c r="AI138" s="131">
        <f t="shared" si="86"/>
        <v>0</v>
      </c>
      <c r="AJ138" s="131">
        <f t="shared" si="87"/>
        <v>0</v>
      </c>
      <c r="AK138" s="131">
        <f t="shared" si="88"/>
        <v>0</v>
      </c>
      <c r="AL138" s="131">
        <f t="shared" si="124"/>
        <v>2275.29</v>
      </c>
      <c r="AM138" s="131">
        <f t="shared" si="89"/>
        <v>30.34</v>
      </c>
      <c r="AN138" s="131">
        <f t="shared" si="90"/>
        <v>359.66</v>
      </c>
      <c r="AO138" s="131">
        <f t="shared" si="91"/>
        <v>0</v>
      </c>
      <c r="AP138" s="131">
        <f t="shared" si="92"/>
        <v>1915.63</v>
      </c>
      <c r="AQ138" s="149">
        <f t="shared" si="125"/>
        <v>260</v>
      </c>
      <c r="AR138" s="149">
        <f t="shared" si="126"/>
        <v>140211.46</v>
      </c>
      <c r="AS138" s="133"/>
      <c r="AT138" s="132">
        <f t="shared" si="127"/>
        <v>86</v>
      </c>
      <c r="AU138" s="148">
        <f t="shared" si="93"/>
        <v>48273</v>
      </c>
      <c r="AV138" s="131">
        <f t="shared" si="128"/>
        <v>21770</v>
      </c>
      <c r="AW138" s="131">
        <f t="shared" si="94"/>
        <v>399.12</v>
      </c>
      <c r="AX138" s="131">
        <f t="shared" si="95"/>
        <v>0</v>
      </c>
      <c r="AY138" s="131">
        <f t="shared" si="96"/>
        <v>210</v>
      </c>
      <c r="AZ138" s="131">
        <f t="shared" si="97"/>
        <v>21560</v>
      </c>
      <c r="BA138" s="131">
        <f t="shared" si="129"/>
        <v>12850</v>
      </c>
      <c r="BB138" s="131">
        <f t="shared" si="98"/>
        <v>203.46</v>
      </c>
      <c r="BC138" s="131">
        <f t="shared" si="99"/>
        <v>0</v>
      </c>
      <c r="BD138" s="131">
        <f t="shared" si="100"/>
        <v>0</v>
      </c>
      <c r="BE138" s="131">
        <f t="shared" si="101"/>
        <v>12850</v>
      </c>
      <c r="BF138" s="131">
        <f t="shared" si="130"/>
        <v>0</v>
      </c>
      <c r="BG138" s="131">
        <f t="shared" si="102"/>
        <v>0</v>
      </c>
      <c r="BH138" s="131">
        <f t="shared" si="103"/>
        <v>0</v>
      </c>
      <c r="BI138" s="131">
        <f t="shared" si="104"/>
        <v>0</v>
      </c>
      <c r="BJ138" s="131">
        <f t="shared" si="105"/>
        <v>0</v>
      </c>
      <c r="BK138" s="131">
        <f t="shared" si="131"/>
        <v>115000</v>
      </c>
      <c r="BL138" s="131">
        <f t="shared" si="106"/>
        <v>575</v>
      </c>
      <c r="BM138" s="131">
        <f t="shared" si="107"/>
        <v>0</v>
      </c>
      <c r="BN138" s="131">
        <f t="shared" si="108"/>
        <v>0</v>
      </c>
      <c r="BO138" s="131">
        <f t="shared" si="109"/>
        <v>115000</v>
      </c>
      <c r="BP138" s="131">
        <f t="shared" si="132"/>
        <v>12000</v>
      </c>
      <c r="BQ138" s="131">
        <f t="shared" si="110"/>
        <v>50</v>
      </c>
      <c r="BR138" s="131">
        <f t="shared" si="111"/>
        <v>0</v>
      </c>
      <c r="BS138" s="131">
        <f t="shared" si="112"/>
        <v>0</v>
      </c>
      <c r="BT138" s="131">
        <f t="shared" si="113"/>
        <v>12000</v>
      </c>
      <c r="BU138" s="131">
        <f t="shared" si="133"/>
        <v>2275.29</v>
      </c>
      <c r="BV138" s="131">
        <f t="shared" si="114"/>
        <v>30.34</v>
      </c>
      <c r="BW138" s="131">
        <f t="shared" si="115"/>
        <v>359.66</v>
      </c>
      <c r="BX138" s="131">
        <f t="shared" si="116"/>
        <v>0</v>
      </c>
      <c r="BY138" s="131">
        <f t="shared" si="117"/>
        <v>1915.63</v>
      </c>
      <c r="BZ138" s="147">
        <f t="shared" si="134"/>
        <v>210</v>
      </c>
      <c r="CA138" s="147">
        <f t="shared" si="135"/>
        <v>134566.66000000003</v>
      </c>
    </row>
    <row r="139" spans="11:79">
      <c r="K139" s="152">
        <f t="shared" si="118"/>
        <v>87</v>
      </c>
      <c r="L139" s="151">
        <f t="shared" si="68"/>
        <v>48304</v>
      </c>
      <c r="M139" s="150">
        <f t="shared" si="119"/>
        <v>35000</v>
      </c>
      <c r="N139" s="150">
        <f t="shared" si="69"/>
        <v>641.66999999999996</v>
      </c>
      <c r="O139" s="150">
        <f t="shared" si="70"/>
        <v>0</v>
      </c>
      <c r="P139" s="150">
        <f t="shared" si="71"/>
        <v>0</v>
      </c>
      <c r="Q139" s="150">
        <f t="shared" si="72"/>
        <v>35000</v>
      </c>
      <c r="R139" s="150">
        <f t="shared" si="120"/>
        <v>9730</v>
      </c>
      <c r="S139" s="150">
        <f t="shared" si="73"/>
        <v>154.06</v>
      </c>
      <c r="T139" s="150">
        <f t="shared" si="74"/>
        <v>0</v>
      </c>
      <c r="U139" s="150">
        <f t="shared" si="75"/>
        <v>260</v>
      </c>
      <c r="V139" s="150">
        <f t="shared" si="76"/>
        <v>9470</v>
      </c>
      <c r="W139" s="150">
        <f t="shared" si="121"/>
        <v>0</v>
      </c>
      <c r="X139" s="150">
        <f t="shared" si="77"/>
        <v>0</v>
      </c>
      <c r="Y139" s="150">
        <f t="shared" si="78"/>
        <v>0</v>
      </c>
      <c r="Z139" s="150">
        <f t="shared" si="79"/>
        <v>0</v>
      </c>
      <c r="AA139" s="150">
        <f t="shared" si="80"/>
        <v>0</v>
      </c>
      <c r="AB139" s="150">
        <f t="shared" si="122"/>
        <v>115000</v>
      </c>
      <c r="AC139" s="150">
        <f t="shared" si="81"/>
        <v>575</v>
      </c>
      <c r="AD139" s="150">
        <f t="shared" si="82"/>
        <v>0</v>
      </c>
      <c r="AE139" s="150">
        <f t="shared" si="83"/>
        <v>0</v>
      </c>
      <c r="AF139" s="150">
        <f t="shared" si="84"/>
        <v>115000</v>
      </c>
      <c r="AG139" s="150">
        <f t="shared" si="123"/>
        <v>0</v>
      </c>
      <c r="AH139" s="150">
        <f t="shared" si="85"/>
        <v>0</v>
      </c>
      <c r="AI139" s="150">
        <f t="shared" si="86"/>
        <v>0</v>
      </c>
      <c r="AJ139" s="150">
        <f t="shared" si="87"/>
        <v>0</v>
      </c>
      <c r="AK139" s="150">
        <f t="shared" si="88"/>
        <v>0</v>
      </c>
      <c r="AL139" s="150">
        <f t="shared" si="124"/>
        <v>1915.63</v>
      </c>
      <c r="AM139" s="150">
        <f t="shared" si="89"/>
        <v>25.54</v>
      </c>
      <c r="AN139" s="150">
        <f t="shared" si="90"/>
        <v>364.46</v>
      </c>
      <c r="AO139" s="150">
        <f t="shared" si="91"/>
        <v>0</v>
      </c>
      <c r="AP139" s="150">
        <f t="shared" si="92"/>
        <v>1551.17</v>
      </c>
      <c r="AQ139" s="149">
        <f t="shared" si="125"/>
        <v>260</v>
      </c>
      <c r="AR139" s="149">
        <f t="shared" si="126"/>
        <v>141607.72999999998</v>
      </c>
      <c r="AS139" s="133"/>
      <c r="AT139" s="152">
        <f t="shared" si="127"/>
        <v>87</v>
      </c>
      <c r="AU139" s="151">
        <f t="shared" si="93"/>
        <v>48304</v>
      </c>
      <c r="AV139" s="150">
        <f t="shared" si="128"/>
        <v>21560</v>
      </c>
      <c r="AW139" s="150">
        <f t="shared" si="94"/>
        <v>395.27</v>
      </c>
      <c r="AX139" s="150">
        <f t="shared" si="95"/>
        <v>0</v>
      </c>
      <c r="AY139" s="150">
        <f t="shared" si="96"/>
        <v>210</v>
      </c>
      <c r="AZ139" s="150">
        <f t="shared" si="97"/>
        <v>21350</v>
      </c>
      <c r="BA139" s="150">
        <f t="shared" si="129"/>
        <v>12850</v>
      </c>
      <c r="BB139" s="150">
        <f t="shared" si="98"/>
        <v>203.46</v>
      </c>
      <c r="BC139" s="150">
        <f t="shared" si="99"/>
        <v>0</v>
      </c>
      <c r="BD139" s="150">
        <f t="shared" si="100"/>
        <v>0</v>
      </c>
      <c r="BE139" s="150">
        <f t="shared" si="101"/>
        <v>12850</v>
      </c>
      <c r="BF139" s="150">
        <f t="shared" si="130"/>
        <v>0</v>
      </c>
      <c r="BG139" s="150">
        <f t="shared" si="102"/>
        <v>0</v>
      </c>
      <c r="BH139" s="150">
        <f t="shared" si="103"/>
        <v>0</v>
      </c>
      <c r="BI139" s="150">
        <f t="shared" si="104"/>
        <v>0</v>
      </c>
      <c r="BJ139" s="150">
        <f t="shared" si="105"/>
        <v>0</v>
      </c>
      <c r="BK139" s="150">
        <f t="shared" si="131"/>
        <v>115000</v>
      </c>
      <c r="BL139" s="150">
        <f t="shared" si="106"/>
        <v>575</v>
      </c>
      <c r="BM139" s="150">
        <f t="shared" si="107"/>
        <v>0</v>
      </c>
      <c r="BN139" s="150">
        <f t="shared" si="108"/>
        <v>0</v>
      </c>
      <c r="BO139" s="150">
        <f t="shared" si="109"/>
        <v>115000</v>
      </c>
      <c r="BP139" s="150">
        <f t="shared" si="132"/>
        <v>12000</v>
      </c>
      <c r="BQ139" s="150">
        <f t="shared" si="110"/>
        <v>50</v>
      </c>
      <c r="BR139" s="150">
        <f t="shared" si="111"/>
        <v>0</v>
      </c>
      <c r="BS139" s="150">
        <f t="shared" si="112"/>
        <v>0</v>
      </c>
      <c r="BT139" s="150">
        <f t="shared" si="113"/>
        <v>12000</v>
      </c>
      <c r="BU139" s="150">
        <f t="shared" si="133"/>
        <v>1915.63</v>
      </c>
      <c r="BV139" s="150">
        <f t="shared" si="114"/>
        <v>25.54</v>
      </c>
      <c r="BW139" s="150">
        <f t="shared" si="115"/>
        <v>364.46</v>
      </c>
      <c r="BX139" s="150">
        <f t="shared" si="116"/>
        <v>0</v>
      </c>
      <c r="BY139" s="150">
        <f t="shared" si="117"/>
        <v>1551.17</v>
      </c>
      <c r="BZ139" s="147">
        <f t="shared" si="134"/>
        <v>210</v>
      </c>
      <c r="CA139" s="147">
        <f t="shared" si="135"/>
        <v>135815.93000000002</v>
      </c>
    </row>
    <row r="140" spans="11:79">
      <c r="K140" s="132">
        <f t="shared" si="118"/>
        <v>88</v>
      </c>
      <c r="L140" s="148">
        <f t="shared" si="68"/>
        <v>48334</v>
      </c>
      <c r="M140" s="131">
        <f t="shared" si="119"/>
        <v>35000</v>
      </c>
      <c r="N140" s="131">
        <f t="shared" si="69"/>
        <v>641.66999999999996</v>
      </c>
      <c r="O140" s="131">
        <f t="shared" si="70"/>
        <v>0</v>
      </c>
      <c r="P140" s="131">
        <f t="shared" si="71"/>
        <v>0</v>
      </c>
      <c r="Q140" s="131">
        <f t="shared" si="72"/>
        <v>35000</v>
      </c>
      <c r="R140" s="131">
        <f t="shared" si="120"/>
        <v>9470</v>
      </c>
      <c r="S140" s="131">
        <f t="shared" si="73"/>
        <v>149.94</v>
      </c>
      <c r="T140" s="131">
        <f t="shared" si="74"/>
        <v>0</v>
      </c>
      <c r="U140" s="131">
        <f t="shared" si="75"/>
        <v>260</v>
      </c>
      <c r="V140" s="131">
        <f t="shared" si="76"/>
        <v>9210</v>
      </c>
      <c r="W140" s="131">
        <f t="shared" si="121"/>
        <v>0</v>
      </c>
      <c r="X140" s="131">
        <f t="shared" si="77"/>
        <v>0</v>
      </c>
      <c r="Y140" s="131">
        <f t="shared" si="78"/>
        <v>0</v>
      </c>
      <c r="Z140" s="131">
        <f t="shared" si="79"/>
        <v>0</v>
      </c>
      <c r="AA140" s="131">
        <f t="shared" si="80"/>
        <v>0</v>
      </c>
      <c r="AB140" s="131">
        <f t="shared" si="122"/>
        <v>115000</v>
      </c>
      <c r="AC140" s="131">
        <f t="shared" si="81"/>
        <v>575</v>
      </c>
      <c r="AD140" s="131">
        <f t="shared" si="82"/>
        <v>0</v>
      </c>
      <c r="AE140" s="131">
        <f t="shared" si="83"/>
        <v>0</v>
      </c>
      <c r="AF140" s="131">
        <f t="shared" si="84"/>
        <v>115000</v>
      </c>
      <c r="AG140" s="131">
        <f t="shared" si="123"/>
        <v>0</v>
      </c>
      <c r="AH140" s="131">
        <f t="shared" si="85"/>
        <v>0</v>
      </c>
      <c r="AI140" s="131">
        <f t="shared" si="86"/>
        <v>0</v>
      </c>
      <c r="AJ140" s="131">
        <f t="shared" si="87"/>
        <v>0</v>
      </c>
      <c r="AK140" s="131">
        <f t="shared" si="88"/>
        <v>0</v>
      </c>
      <c r="AL140" s="131">
        <f t="shared" si="124"/>
        <v>1551.17</v>
      </c>
      <c r="AM140" s="131">
        <f t="shared" si="89"/>
        <v>20.68</v>
      </c>
      <c r="AN140" s="131">
        <f t="shared" si="90"/>
        <v>369.32</v>
      </c>
      <c r="AO140" s="131">
        <f t="shared" si="91"/>
        <v>0</v>
      </c>
      <c r="AP140" s="131">
        <f t="shared" si="92"/>
        <v>1181.8499999999999</v>
      </c>
      <c r="AQ140" s="149">
        <f t="shared" si="125"/>
        <v>260</v>
      </c>
      <c r="AR140" s="149">
        <f t="shared" si="126"/>
        <v>142995.01999999999</v>
      </c>
      <c r="AS140" s="133"/>
      <c r="AT140" s="132">
        <f t="shared" si="127"/>
        <v>88</v>
      </c>
      <c r="AU140" s="148">
        <f t="shared" si="93"/>
        <v>48334</v>
      </c>
      <c r="AV140" s="131">
        <f t="shared" si="128"/>
        <v>21350</v>
      </c>
      <c r="AW140" s="131">
        <f t="shared" si="94"/>
        <v>391.42</v>
      </c>
      <c r="AX140" s="131">
        <f t="shared" si="95"/>
        <v>0</v>
      </c>
      <c r="AY140" s="131">
        <f t="shared" si="96"/>
        <v>210</v>
      </c>
      <c r="AZ140" s="131">
        <f t="shared" si="97"/>
        <v>21140</v>
      </c>
      <c r="BA140" s="131">
        <f t="shared" si="129"/>
        <v>12850</v>
      </c>
      <c r="BB140" s="131">
        <f t="shared" si="98"/>
        <v>203.46</v>
      </c>
      <c r="BC140" s="131">
        <f t="shared" si="99"/>
        <v>0</v>
      </c>
      <c r="BD140" s="131">
        <f t="shared" si="100"/>
        <v>0</v>
      </c>
      <c r="BE140" s="131">
        <f t="shared" si="101"/>
        <v>12850</v>
      </c>
      <c r="BF140" s="131">
        <f t="shared" si="130"/>
        <v>0</v>
      </c>
      <c r="BG140" s="131">
        <f t="shared" si="102"/>
        <v>0</v>
      </c>
      <c r="BH140" s="131">
        <f t="shared" si="103"/>
        <v>0</v>
      </c>
      <c r="BI140" s="131">
        <f t="shared" si="104"/>
        <v>0</v>
      </c>
      <c r="BJ140" s="131">
        <f t="shared" si="105"/>
        <v>0</v>
      </c>
      <c r="BK140" s="131">
        <f t="shared" si="131"/>
        <v>115000</v>
      </c>
      <c r="BL140" s="131">
        <f t="shared" si="106"/>
        <v>575</v>
      </c>
      <c r="BM140" s="131">
        <f t="shared" si="107"/>
        <v>0</v>
      </c>
      <c r="BN140" s="131">
        <f t="shared" si="108"/>
        <v>0</v>
      </c>
      <c r="BO140" s="131">
        <f t="shared" si="109"/>
        <v>115000</v>
      </c>
      <c r="BP140" s="131">
        <f t="shared" si="132"/>
        <v>12000</v>
      </c>
      <c r="BQ140" s="131">
        <f t="shared" si="110"/>
        <v>50</v>
      </c>
      <c r="BR140" s="131">
        <f t="shared" si="111"/>
        <v>0</v>
      </c>
      <c r="BS140" s="131">
        <f t="shared" si="112"/>
        <v>0</v>
      </c>
      <c r="BT140" s="131">
        <f t="shared" si="113"/>
        <v>12000</v>
      </c>
      <c r="BU140" s="131">
        <f t="shared" si="133"/>
        <v>1551.17</v>
      </c>
      <c r="BV140" s="131">
        <f t="shared" si="114"/>
        <v>20.68</v>
      </c>
      <c r="BW140" s="131">
        <f t="shared" si="115"/>
        <v>369.32</v>
      </c>
      <c r="BX140" s="131">
        <f t="shared" si="116"/>
        <v>0</v>
      </c>
      <c r="BY140" s="131">
        <f t="shared" si="117"/>
        <v>1181.8499999999999</v>
      </c>
      <c r="BZ140" s="147">
        <f t="shared" si="134"/>
        <v>210</v>
      </c>
      <c r="CA140" s="147">
        <f t="shared" si="135"/>
        <v>137056.49000000002</v>
      </c>
    </row>
    <row r="141" spans="11:79">
      <c r="K141" s="152">
        <f t="shared" si="118"/>
        <v>89</v>
      </c>
      <c r="L141" s="151">
        <f t="shared" si="68"/>
        <v>48365</v>
      </c>
      <c r="M141" s="150">
        <f t="shared" si="119"/>
        <v>35000</v>
      </c>
      <c r="N141" s="150">
        <f t="shared" si="69"/>
        <v>641.66999999999996</v>
      </c>
      <c r="O141" s="150">
        <f t="shared" si="70"/>
        <v>0</v>
      </c>
      <c r="P141" s="150">
        <f t="shared" si="71"/>
        <v>0</v>
      </c>
      <c r="Q141" s="150">
        <f t="shared" si="72"/>
        <v>35000</v>
      </c>
      <c r="R141" s="150">
        <f t="shared" si="120"/>
        <v>9210</v>
      </c>
      <c r="S141" s="150">
        <f t="shared" si="73"/>
        <v>145.83000000000001</v>
      </c>
      <c r="T141" s="150">
        <f t="shared" si="74"/>
        <v>0</v>
      </c>
      <c r="U141" s="150">
        <f t="shared" si="75"/>
        <v>260</v>
      </c>
      <c r="V141" s="150">
        <f t="shared" si="76"/>
        <v>8950</v>
      </c>
      <c r="W141" s="150">
        <f t="shared" si="121"/>
        <v>0</v>
      </c>
      <c r="X141" s="150">
        <f t="shared" si="77"/>
        <v>0</v>
      </c>
      <c r="Y141" s="150">
        <f t="shared" si="78"/>
        <v>0</v>
      </c>
      <c r="Z141" s="150">
        <f t="shared" si="79"/>
        <v>0</v>
      </c>
      <c r="AA141" s="150">
        <f t="shared" si="80"/>
        <v>0</v>
      </c>
      <c r="AB141" s="150">
        <f t="shared" si="122"/>
        <v>115000</v>
      </c>
      <c r="AC141" s="150">
        <f t="shared" si="81"/>
        <v>575</v>
      </c>
      <c r="AD141" s="150">
        <f t="shared" si="82"/>
        <v>0</v>
      </c>
      <c r="AE141" s="150">
        <f t="shared" si="83"/>
        <v>0</v>
      </c>
      <c r="AF141" s="150">
        <f t="shared" si="84"/>
        <v>115000</v>
      </c>
      <c r="AG141" s="150">
        <f t="shared" si="123"/>
        <v>0</v>
      </c>
      <c r="AH141" s="150">
        <f t="shared" si="85"/>
        <v>0</v>
      </c>
      <c r="AI141" s="150">
        <f t="shared" si="86"/>
        <v>0</v>
      </c>
      <c r="AJ141" s="150">
        <f t="shared" si="87"/>
        <v>0</v>
      </c>
      <c r="AK141" s="150">
        <f t="shared" si="88"/>
        <v>0</v>
      </c>
      <c r="AL141" s="150">
        <f t="shared" si="124"/>
        <v>1181.8499999999999</v>
      </c>
      <c r="AM141" s="150">
        <f t="shared" si="89"/>
        <v>15.76</v>
      </c>
      <c r="AN141" s="150">
        <f t="shared" si="90"/>
        <v>374.24</v>
      </c>
      <c r="AO141" s="150">
        <f t="shared" si="91"/>
        <v>0</v>
      </c>
      <c r="AP141" s="150">
        <f t="shared" si="92"/>
        <v>807.61</v>
      </c>
      <c r="AQ141" s="149">
        <f t="shared" si="125"/>
        <v>260</v>
      </c>
      <c r="AR141" s="149">
        <f t="shared" si="126"/>
        <v>144373.28</v>
      </c>
      <c r="AS141" s="133"/>
      <c r="AT141" s="152">
        <f t="shared" si="127"/>
        <v>89</v>
      </c>
      <c r="AU141" s="151">
        <f t="shared" si="93"/>
        <v>48365</v>
      </c>
      <c r="AV141" s="150">
        <f t="shared" si="128"/>
        <v>21140</v>
      </c>
      <c r="AW141" s="150">
        <f t="shared" si="94"/>
        <v>387.57</v>
      </c>
      <c r="AX141" s="150">
        <f t="shared" si="95"/>
        <v>0</v>
      </c>
      <c r="AY141" s="150">
        <f t="shared" si="96"/>
        <v>210</v>
      </c>
      <c r="AZ141" s="150">
        <f t="shared" si="97"/>
        <v>20930</v>
      </c>
      <c r="BA141" s="150">
        <f t="shared" si="129"/>
        <v>12850</v>
      </c>
      <c r="BB141" s="150">
        <f t="shared" si="98"/>
        <v>203.46</v>
      </c>
      <c r="BC141" s="150">
        <f t="shared" si="99"/>
        <v>0</v>
      </c>
      <c r="BD141" s="150">
        <f t="shared" si="100"/>
        <v>0</v>
      </c>
      <c r="BE141" s="150">
        <f t="shared" si="101"/>
        <v>12850</v>
      </c>
      <c r="BF141" s="150">
        <f t="shared" si="130"/>
        <v>0</v>
      </c>
      <c r="BG141" s="150">
        <f t="shared" si="102"/>
        <v>0</v>
      </c>
      <c r="BH141" s="150">
        <f t="shared" si="103"/>
        <v>0</v>
      </c>
      <c r="BI141" s="150">
        <f t="shared" si="104"/>
        <v>0</v>
      </c>
      <c r="BJ141" s="150">
        <f t="shared" si="105"/>
        <v>0</v>
      </c>
      <c r="BK141" s="150">
        <f t="shared" si="131"/>
        <v>115000</v>
      </c>
      <c r="BL141" s="150">
        <f t="shared" si="106"/>
        <v>575</v>
      </c>
      <c r="BM141" s="150">
        <f t="shared" si="107"/>
        <v>0</v>
      </c>
      <c r="BN141" s="150">
        <f t="shared" si="108"/>
        <v>0</v>
      </c>
      <c r="BO141" s="150">
        <f t="shared" si="109"/>
        <v>115000</v>
      </c>
      <c r="BP141" s="150">
        <f t="shared" si="132"/>
        <v>12000</v>
      </c>
      <c r="BQ141" s="150">
        <f t="shared" si="110"/>
        <v>50</v>
      </c>
      <c r="BR141" s="150">
        <f t="shared" si="111"/>
        <v>0</v>
      </c>
      <c r="BS141" s="150">
        <f t="shared" si="112"/>
        <v>0</v>
      </c>
      <c r="BT141" s="150">
        <f t="shared" si="113"/>
        <v>12000</v>
      </c>
      <c r="BU141" s="150">
        <f t="shared" si="133"/>
        <v>1181.8499999999999</v>
      </c>
      <c r="BV141" s="150">
        <f t="shared" si="114"/>
        <v>15.76</v>
      </c>
      <c r="BW141" s="150">
        <f t="shared" si="115"/>
        <v>374.24</v>
      </c>
      <c r="BX141" s="150">
        <f t="shared" si="116"/>
        <v>0</v>
      </c>
      <c r="BY141" s="150">
        <f t="shared" si="117"/>
        <v>807.61</v>
      </c>
      <c r="BZ141" s="147">
        <f t="shared" si="134"/>
        <v>210</v>
      </c>
      <c r="CA141" s="147">
        <f t="shared" si="135"/>
        <v>138288.28000000003</v>
      </c>
    </row>
    <row r="142" spans="11:79">
      <c r="K142" s="132">
        <f t="shared" si="118"/>
        <v>90</v>
      </c>
      <c r="L142" s="148">
        <f t="shared" si="68"/>
        <v>48395</v>
      </c>
      <c r="M142" s="131">
        <f t="shared" si="119"/>
        <v>35000</v>
      </c>
      <c r="N142" s="131">
        <f t="shared" si="69"/>
        <v>641.66999999999996</v>
      </c>
      <c r="O142" s="131">
        <f t="shared" si="70"/>
        <v>0</v>
      </c>
      <c r="P142" s="131">
        <f t="shared" si="71"/>
        <v>0</v>
      </c>
      <c r="Q142" s="131">
        <f t="shared" si="72"/>
        <v>35000</v>
      </c>
      <c r="R142" s="131">
        <f t="shared" si="120"/>
        <v>8950</v>
      </c>
      <c r="S142" s="131">
        <f t="shared" si="73"/>
        <v>141.71</v>
      </c>
      <c r="T142" s="131">
        <f t="shared" si="74"/>
        <v>0</v>
      </c>
      <c r="U142" s="131">
        <f t="shared" si="75"/>
        <v>260</v>
      </c>
      <c r="V142" s="131">
        <f t="shared" si="76"/>
        <v>8690</v>
      </c>
      <c r="W142" s="131">
        <f t="shared" si="121"/>
        <v>0</v>
      </c>
      <c r="X142" s="131">
        <f t="shared" si="77"/>
        <v>0</v>
      </c>
      <c r="Y142" s="131">
        <f t="shared" si="78"/>
        <v>0</v>
      </c>
      <c r="Z142" s="131">
        <f t="shared" si="79"/>
        <v>0</v>
      </c>
      <c r="AA142" s="131">
        <f t="shared" si="80"/>
        <v>0</v>
      </c>
      <c r="AB142" s="131">
        <f t="shared" si="122"/>
        <v>115000</v>
      </c>
      <c r="AC142" s="131">
        <f t="shared" si="81"/>
        <v>575</v>
      </c>
      <c r="AD142" s="131">
        <f t="shared" si="82"/>
        <v>0</v>
      </c>
      <c r="AE142" s="131">
        <f t="shared" si="83"/>
        <v>0</v>
      </c>
      <c r="AF142" s="131">
        <f t="shared" si="84"/>
        <v>115000</v>
      </c>
      <c r="AG142" s="131">
        <f t="shared" si="123"/>
        <v>0</v>
      </c>
      <c r="AH142" s="131">
        <f t="shared" si="85"/>
        <v>0</v>
      </c>
      <c r="AI142" s="131">
        <f t="shared" si="86"/>
        <v>0</v>
      </c>
      <c r="AJ142" s="131">
        <f t="shared" si="87"/>
        <v>0</v>
      </c>
      <c r="AK142" s="131">
        <f t="shared" si="88"/>
        <v>0</v>
      </c>
      <c r="AL142" s="131">
        <f t="shared" si="124"/>
        <v>807.61</v>
      </c>
      <c r="AM142" s="131">
        <f t="shared" si="89"/>
        <v>10.77</v>
      </c>
      <c r="AN142" s="131">
        <f t="shared" si="90"/>
        <v>379.23</v>
      </c>
      <c r="AO142" s="131">
        <f t="shared" si="91"/>
        <v>0</v>
      </c>
      <c r="AP142" s="131">
        <f t="shared" si="92"/>
        <v>428.38</v>
      </c>
      <c r="AQ142" s="149">
        <f t="shared" si="125"/>
        <v>260</v>
      </c>
      <c r="AR142" s="149">
        <f t="shared" si="126"/>
        <v>145742.43</v>
      </c>
      <c r="AS142" s="133"/>
      <c r="AT142" s="132">
        <f t="shared" si="127"/>
        <v>90</v>
      </c>
      <c r="AU142" s="148">
        <f t="shared" si="93"/>
        <v>48395</v>
      </c>
      <c r="AV142" s="131">
        <f t="shared" si="128"/>
        <v>20930</v>
      </c>
      <c r="AW142" s="131">
        <f t="shared" si="94"/>
        <v>383.72</v>
      </c>
      <c r="AX142" s="131">
        <f t="shared" si="95"/>
        <v>0</v>
      </c>
      <c r="AY142" s="131">
        <f t="shared" si="96"/>
        <v>210</v>
      </c>
      <c r="AZ142" s="131">
        <f t="shared" si="97"/>
        <v>20720</v>
      </c>
      <c r="BA142" s="131">
        <f t="shared" si="129"/>
        <v>12850</v>
      </c>
      <c r="BB142" s="131">
        <f t="shared" si="98"/>
        <v>203.46</v>
      </c>
      <c r="BC142" s="131">
        <f t="shared" si="99"/>
        <v>0</v>
      </c>
      <c r="BD142" s="131">
        <f t="shared" si="100"/>
        <v>0</v>
      </c>
      <c r="BE142" s="131">
        <f t="shared" si="101"/>
        <v>12850</v>
      </c>
      <c r="BF142" s="131">
        <f t="shared" si="130"/>
        <v>0</v>
      </c>
      <c r="BG142" s="131">
        <f t="shared" si="102"/>
        <v>0</v>
      </c>
      <c r="BH142" s="131">
        <f t="shared" si="103"/>
        <v>0</v>
      </c>
      <c r="BI142" s="131">
        <f t="shared" si="104"/>
        <v>0</v>
      </c>
      <c r="BJ142" s="131">
        <f t="shared" si="105"/>
        <v>0</v>
      </c>
      <c r="BK142" s="131">
        <f t="shared" si="131"/>
        <v>115000</v>
      </c>
      <c r="BL142" s="131">
        <f t="shared" si="106"/>
        <v>575</v>
      </c>
      <c r="BM142" s="131">
        <f t="shared" si="107"/>
        <v>0</v>
      </c>
      <c r="BN142" s="131">
        <f t="shared" si="108"/>
        <v>0</v>
      </c>
      <c r="BO142" s="131">
        <f t="shared" si="109"/>
        <v>115000</v>
      </c>
      <c r="BP142" s="131">
        <f t="shared" si="132"/>
        <v>12000</v>
      </c>
      <c r="BQ142" s="131">
        <f t="shared" si="110"/>
        <v>50</v>
      </c>
      <c r="BR142" s="131">
        <f t="shared" si="111"/>
        <v>0</v>
      </c>
      <c r="BS142" s="131">
        <f t="shared" si="112"/>
        <v>0</v>
      </c>
      <c r="BT142" s="131">
        <f t="shared" si="113"/>
        <v>12000</v>
      </c>
      <c r="BU142" s="131">
        <f t="shared" si="133"/>
        <v>807.61</v>
      </c>
      <c r="BV142" s="131">
        <f t="shared" si="114"/>
        <v>10.77</v>
      </c>
      <c r="BW142" s="131">
        <f t="shared" si="115"/>
        <v>379.23</v>
      </c>
      <c r="BX142" s="131">
        <f t="shared" si="116"/>
        <v>0</v>
      </c>
      <c r="BY142" s="131">
        <f t="shared" si="117"/>
        <v>428.38</v>
      </c>
      <c r="BZ142" s="147">
        <f t="shared" si="134"/>
        <v>210</v>
      </c>
      <c r="CA142" s="147">
        <f t="shared" si="135"/>
        <v>139511.23000000004</v>
      </c>
    </row>
    <row r="143" spans="11:79">
      <c r="K143" s="152">
        <f t="shared" si="118"/>
        <v>91</v>
      </c>
      <c r="L143" s="151">
        <f t="shared" si="68"/>
        <v>48426</v>
      </c>
      <c r="M143" s="150">
        <f t="shared" si="119"/>
        <v>35000</v>
      </c>
      <c r="N143" s="150">
        <f t="shared" si="69"/>
        <v>641.66999999999996</v>
      </c>
      <c r="O143" s="150">
        <f t="shared" si="70"/>
        <v>0</v>
      </c>
      <c r="P143" s="150">
        <f t="shared" si="71"/>
        <v>0</v>
      </c>
      <c r="Q143" s="150">
        <f t="shared" si="72"/>
        <v>35000</v>
      </c>
      <c r="R143" s="150">
        <f t="shared" si="120"/>
        <v>8690</v>
      </c>
      <c r="S143" s="150">
        <f t="shared" si="73"/>
        <v>137.59</v>
      </c>
      <c r="T143" s="150">
        <f t="shared" si="74"/>
        <v>0</v>
      </c>
      <c r="U143" s="150">
        <f t="shared" si="75"/>
        <v>260</v>
      </c>
      <c r="V143" s="150">
        <f t="shared" si="76"/>
        <v>8430</v>
      </c>
      <c r="W143" s="150">
        <f t="shared" si="121"/>
        <v>0</v>
      </c>
      <c r="X143" s="150">
        <f t="shared" si="77"/>
        <v>0</v>
      </c>
      <c r="Y143" s="150">
        <f t="shared" si="78"/>
        <v>0</v>
      </c>
      <c r="Z143" s="150">
        <f t="shared" si="79"/>
        <v>0</v>
      </c>
      <c r="AA143" s="150">
        <f t="shared" si="80"/>
        <v>0</v>
      </c>
      <c r="AB143" s="150">
        <f t="shared" si="122"/>
        <v>115000</v>
      </c>
      <c r="AC143" s="150">
        <f t="shared" si="81"/>
        <v>575</v>
      </c>
      <c r="AD143" s="150">
        <f t="shared" si="82"/>
        <v>0</v>
      </c>
      <c r="AE143" s="150">
        <f t="shared" si="83"/>
        <v>0</v>
      </c>
      <c r="AF143" s="150">
        <f t="shared" si="84"/>
        <v>115000</v>
      </c>
      <c r="AG143" s="150">
        <f t="shared" si="123"/>
        <v>0</v>
      </c>
      <c r="AH143" s="150">
        <f t="shared" si="85"/>
        <v>0</v>
      </c>
      <c r="AI143" s="150">
        <f t="shared" si="86"/>
        <v>0</v>
      </c>
      <c r="AJ143" s="150">
        <f t="shared" si="87"/>
        <v>0</v>
      </c>
      <c r="AK143" s="150">
        <f t="shared" si="88"/>
        <v>0</v>
      </c>
      <c r="AL143" s="150">
        <f t="shared" si="124"/>
        <v>428.38</v>
      </c>
      <c r="AM143" s="150">
        <f t="shared" si="89"/>
        <v>5.71</v>
      </c>
      <c r="AN143" s="150">
        <f t="shared" si="90"/>
        <v>384.29</v>
      </c>
      <c r="AO143" s="150">
        <f t="shared" si="91"/>
        <v>0</v>
      </c>
      <c r="AP143" s="150">
        <f t="shared" si="92"/>
        <v>44.09</v>
      </c>
      <c r="AQ143" s="149">
        <f t="shared" si="125"/>
        <v>260</v>
      </c>
      <c r="AR143" s="149">
        <f t="shared" si="126"/>
        <v>147102.39999999999</v>
      </c>
      <c r="AS143" s="133"/>
      <c r="AT143" s="152">
        <f t="shared" si="127"/>
        <v>91</v>
      </c>
      <c r="AU143" s="151">
        <f t="shared" si="93"/>
        <v>48426</v>
      </c>
      <c r="AV143" s="150">
        <f t="shared" si="128"/>
        <v>20720</v>
      </c>
      <c r="AW143" s="150">
        <f t="shared" si="94"/>
        <v>379.87</v>
      </c>
      <c r="AX143" s="150">
        <f t="shared" si="95"/>
        <v>0</v>
      </c>
      <c r="AY143" s="150">
        <f t="shared" si="96"/>
        <v>210</v>
      </c>
      <c r="AZ143" s="150">
        <f t="shared" si="97"/>
        <v>20510</v>
      </c>
      <c r="BA143" s="150">
        <f t="shared" si="129"/>
        <v>12850</v>
      </c>
      <c r="BB143" s="150">
        <f t="shared" si="98"/>
        <v>203.46</v>
      </c>
      <c r="BC143" s="150">
        <f t="shared" si="99"/>
        <v>0</v>
      </c>
      <c r="BD143" s="150">
        <f t="shared" si="100"/>
        <v>0</v>
      </c>
      <c r="BE143" s="150">
        <f t="shared" si="101"/>
        <v>12850</v>
      </c>
      <c r="BF143" s="150">
        <f t="shared" si="130"/>
        <v>0</v>
      </c>
      <c r="BG143" s="150">
        <f t="shared" si="102"/>
        <v>0</v>
      </c>
      <c r="BH143" s="150">
        <f t="shared" si="103"/>
        <v>0</v>
      </c>
      <c r="BI143" s="150">
        <f t="shared" si="104"/>
        <v>0</v>
      </c>
      <c r="BJ143" s="150">
        <f t="shared" si="105"/>
        <v>0</v>
      </c>
      <c r="BK143" s="150">
        <f t="shared" si="131"/>
        <v>115000</v>
      </c>
      <c r="BL143" s="150">
        <f t="shared" si="106"/>
        <v>575</v>
      </c>
      <c r="BM143" s="150">
        <f t="shared" si="107"/>
        <v>0</v>
      </c>
      <c r="BN143" s="150">
        <f t="shared" si="108"/>
        <v>0</v>
      </c>
      <c r="BO143" s="150">
        <f t="shared" si="109"/>
        <v>115000</v>
      </c>
      <c r="BP143" s="150">
        <f t="shared" si="132"/>
        <v>12000</v>
      </c>
      <c r="BQ143" s="150">
        <f t="shared" si="110"/>
        <v>50</v>
      </c>
      <c r="BR143" s="150">
        <f t="shared" si="111"/>
        <v>0</v>
      </c>
      <c r="BS143" s="150">
        <f t="shared" si="112"/>
        <v>0</v>
      </c>
      <c r="BT143" s="150">
        <f t="shared" si="113"/>
        <v>12000</v>
      </c>
      <c r="BU143" s="150">
        <f t="shared" si="133"/>
        <v>428.38</v>
      </c>
      <c r="BV143" s="150">
        <f t="shared" si="114"/>
        <v>5.71</v>
      </c>
      <c r="BW143" s="150">
        <f t="shared" si="115"/>
        <v>384.29</v>
      </c>
      <c r="BX143" s="150">
        <f t="shared" si="116"/>
        <v>0</v>
      </c>
      <c r="BY143" s="150">
        <f t="shared" si="117"/>
        <v>44.09</v>
      </c>
      <c r="BZ143" s="147">
        <f t="shared" si="134"/>
        <v>210</v>
      </c>
      <c r="CA143" s="147">
        <f t="shared" si="135"/>
        <v>140725.27000000005</v>
      </c>
    </row>
    <row r="144" spans="11:79">
      <c r="K144" s="132">
        <f t="shared" si="118"/>
        <v>92</v>
      </c>
      <c r="L144" s="148">
        <f t="shared" si="68"/>
        <v>48457</v>
      </c>
      <c r="M144" s="131">
        <f t="shared" si="119"/>
        <v>35000</v>
      </c>
      <c r="N144" s="131">
        <f t="shared" si="69"/>
        <v>641.66999999999996</v>
      </c>
      <c r="O144" s="131">
        <f t="shared" si="70"/>
        <v>0</v>
      </c>
      <c r="P144" s="131">
        <f t="shared" si="71"/>
        <v>0</v>
      </c>
      <c r="Q144" s="131">
        <f t="shared" si="72"/>
        <v>35000</v>
      </c>
      <c r="R144" s="131">
        <f t="shared" si="120"/>
        <v>8430</v>
      </c>
      <c r="S144" s="131">
        <f t="shared" si="73"/>
        <v>133.47999999999999</v>
      </c>
      <c r="T144" s="131">
        <f t="shared" si="74"/>
        <v>0</v>
      </c>
      <c r="U144" s="131">
        <f t="shared" si="75"/>
        <v>260</v>
      </c>
      <c r="V144" s="131">
        <f t="shared" si="76"/>
        <v>8170</v>
      </c>
      <c r="W144" s="131">
        <f t="shared" si="121"/>
        <v>0</v>
      </c>
      <c r="X144" s="131">
        <f t="shared" si="77"/>
        <v>0</v>
      </c>
      <c r="Y144" s="131">
        <f t="shared" si="78"/>
        <v>0</v>
      </c>
      <c r="Z144" s="131">
        <f t="shared" si="79"/>
        <v>0</v>
      </c>
      <c r="AA144" s="131">
        <f t="shared" si="80"/>
        <v>0</v>
      </c>
      <c r="AB144" s="131">
        <f t="shared" si="122"/>
        <v>115000</v>
      </c>
      <c r="AC144" s="131">
        <f t="shared" si="81"/>
        <v>575</v>
      </c>
      <c r="AD144" s="131">
        <f t="shared" si="82"/>
        <v>0</v>
      </c>
      <c r="AE144" s="131">
        <f t="shared" si="83"/>
        <v>0</v>
      </c>
      <c r="AF144" s="131">
        <f t="shared" si="84"/>
        <v>115000</v>
      </c>
      <c r="AG144" s="131">
        <f t="shared" si="123"/>
        <v>0</v>
      </c>
      <c r="AH144" s="131">
        <f t="shared" si="85"/>
        <v>0</v>
      </c>
      <c r="AI144" s="131">
        <f t="shared" si="86"/>
        <v>0</v>
      </c>
      <c r="AJ144" s="131">
        <f t="shared" si="87"/>
        <v>0</v>
      </c>
      <c r="AK144" s="131">
        <f t="shared" si="88"/>
        <v>0</v>
      </c>
      <c r="AL144" s="131">
        <f t="shared" si="124"/>
        <v>44.09</v>
      </c>
      <c r="AM144" s="131">
        <f t="shared" si="89"/>
        <v>0.59</v>
      </c>
      <c r="AN144" s="131">
        <f t="shared" si="90"/>
        <v>44.09</v>
      </c>
      <c r="AO144" s="131">
        <f t="shared" si="91"/>
        <v>0</v>
      </c>
      <c r="AP144" s="131">
        <f t="shared" si="92"/>
        <v>0</v>
      </c>
      <c r="AQ144" s="149">
        <f t="shared" si="125"/>
        <v>260</v>
      </c>
      <c r="AR144" s="149">
        <f t="shared" si="126"/>
        <v>148453.13999999998</v>
      </c>
      <c r="AS144" s="133"/>
      <c r="AT144" s="132">
        <f t="shared" si="127"/>
        <v>92</v>
      </c>
      <c r="AU144" s="148">
        <f t="shared" si="93"/>
        <v>48457</v>
      </c>
      <c r="AV144" s="131">
        <f t="shared" si="128"/>
        <v>20510</v>
      </c>
      <c r="AW144" s="131">
        <f t="shared" si="94"/>
        <v>376.02</v>
      </c>
      <c r="AX144" s="131">
        <f t="shared" si="95"/>
        <v>0</v>
      </c>
      <c r="AY144" s="131">
        <f t="shared" si="96"/>
        <v>210</v>
      </c>
      <c r="AZ144" s="131">
        <f t="shared" si="97"/>
        <v>20300</v>
      </c>
      <c r="BA144" s="131">
        <f t="shared" si="129"/>
        <v>12850</v>
      </c>
      <c r="BB144" s="131">
        <f t="shared" si="98"/>
        <v>203.46</v>
      </c>
      <c r="BC144" s="131">
        <f t="shared" si="99"/>
        <v>0</v>
      </c>
      <c r="BD144" s="131">
        <f t="shared" si="100"/>
        <v>0</v>
      </c>
      <c r="BE144" s="131">
        <f t="shared" si="101"/>
        <v>12850</v>
      </c>
      <c r="BF144" s="131">
        <f t="shared" si="130"/>
        <v>0</v>
      </c>
      <c r="BG144" s="131">
        <f t="shared" si="102"/>
        <v>0</v>
      </c>
      <c r="BH144" s="131">
        <f t="shared" si="103"/>
        <v>0</v>
      </c>
      <c r="BI144" s="131">
        <f t="shared" si="104"/>
        <v>0</v>
      </c>
      <c r="BJ144" s="131">
        <f t="shared" si="105"/>
        <v>0</v>
      </c>
      <c r="BK144" s="131">
        <f t="shared" si="131"/>
        <v>115000</v>
      </c>
      <c r="BL144" s="131">
        <f t="shared" si="106"/>
        <v>575</v>
      </c>
      <c r="BM144" s="131">
        <f t="shared" si="107"/>
        <v>0</v>
      </c>
      <c r="BN144" s="131">
        <f t="shared" si="108"/>
        <v>0</v>
      </c>
      <c r="BO144" s="131">
        <f t="shared" si="109"/>
        <v>115000</v>
      </c>
      <c r="BP144" s="131">
        <f t="shared" si="132"/>
        <v>12000</v>
      </c>
      <c r="BQ144" s="131">
        <f t="shared" si="110"/>
        <v>50</v>
      </c>
      <c r="BR144" s="131">
        <f t="shared" si="111"/>
        <v>0</v>
      </c>
      <c r="BS144" s="131">
        <f t="shared" si="112"/>
        <v>0</v>
      </c>
      <c r="BT144" s="131">
        <f t="shared" si="113"/>
        <v>12000</v>
      </c>
      <c r="BU144" s="131">
        <f t="shared" si="133"/>
        <v>44.09</v>
      </c>
      <c r="BV144" s="131">
        <f t="shared" si="114"/>
        <v>0.59</v>
      </c>
      <c r="BW144" s="131">
        <f t="shared" si="115"/>
        <v>44.09</v>
      </c>
      <c r="BX144" s="131">
        <f t="shared" si="116"/>
        <v>0</v>
      </c>
      <c r="BY144" s="131">
        <f t="shared" si="117"/>
        <v>0</v>
      </c>
      <c r="BZ144" s="147">
        <f t="shared" si="134"/>
        <v>210</v>
      </c>
      <c r="CA144" s="147">
        <f t="shared" si="135"/>
        <v>141930.34000000005</v>
      </c>
    </row>
    <row r="145" spans="11:79">
      <c r="K145" s="152">
        <f t="shared" si="118"/>
        <v>93</v>
      </c>
      <c r="L145" s="151">
        <f t="shared" si="68"/>
        <v>48487</v>
      </c>
      <c r="M145" s="150">
        <f t="shared" si="119"/>
        <v>35000</v>
      </c>
      <c r="N145" s="150">
        <f t="shared" si="69"/>
        <v>641.66999999999996</v>
      </c>
      <c r="O145" s="150">
        <f t="shared" si="70"/>
        <v>0</v>
      </c>
      <c r="P145" s="150">
        <f t="shared" si="71"/>
        <v>0</v>
      </c>
      <c r="Q145" s="150">
        <f t="shared" si="72"/>
        <v>35000</v>
      </c>
      <c r="R145" s="150">
        <f t="shared" si="120"/>
        <v>8170</v>
      </c>
      <c r="S145" s="150">
        <f t="shared" si="73"/>
        <v>129.36000000000001</v>
      </c>
      <c r="T145" s="150">
        <f t="shared" si="74"/>
        <v>0</v>
      </c>
      <c r="U145" s="150">
        <f t="shared" si="75"/>
        <v>650</v>
      </c>
      <c r="V145" s="150">
        <f t="shared" si="76"/>
        <v>7520</v>
      </c>
      <c r="W145" s="150">
        <f t="shared" si="121"/>
        <v>0</v>
      </c>
      <c r="X145" s="150">
        <f t="shared" si="77"/>
        <v>0</v>
      </c>
      <c r="Y145" s="150">
        <f t="shared" si="78"/>
        <v>0</v>
      </c>
      <c r="Z145" s="150">
        <f t="shared" si="79"/>
        <v>0</v>
      </c>
      <c r="AA145" s="150">
        <f t="shared" si="80"/>
        <v>0</v>
      </c>
      <c r="AB145" s="150">
        <f t="shared" si="122"/>
        <v>115000</v>
      </c>
      <c r="AC145" s="150">
        <f t="shared" si="81"/>
        <v>575</v>
      </c>
      <c r="AD145" s="150">
        <f t="shared" si="82"/>
        <v>0</v>
      </c>
      <c r="AE145" s="150">
        <f t="shared" si="83"/>
        <v>0</v>
      </c>
      <c r="AF145" s="150">
        <f t="shared" si="84"/>
        <v>115000</v>
      </c>
      <c r="AG145" s="150">
        <f t="shared" si="123"/>
        <v>0</v>
      </c>
      <c r="AH145" s="150">
        <f t="shared" si="85"/>
        <v>0</v>
      </c>
      <c r="AI145" s="150">
        <f t="shared" si="86"/>
        <v>0</v>
      </c>
      <c r="AJ145" s="150">
        <f t="shared" si="87"/>
        <v>0</v>
      </c>
      <c r="AK145" s="150">
        <f t="shared" si="88"/>
        <v>0</v>
      </c>
      <c r="AL145" s="150">
        <f t="shared" si="124"/>
        <v>0</v>
      </c>
      <c r="AM145" s="150">
        <f t="shared" si="89"/>
        <v>0</v>
      </c>
      <c r="AN145" s="150">
        <f t="shared" si="90"/>
        <v>0</v>
      </c>
      <c r="AO145" s="150">
        <f t="shared" si="91"/>
        <v>0</v>
      </c>
      <c r="AP145" s="150">
        <f t="shared" si="92"/>
        <v>0</v>
      </c>
      <c r="AQ145" s="149">
        <f t="shared" si="125"/>
        <v>650</v>
      </c>
      <c r="AR145" s="149">
        <f t="shared" si="126"/>
        <v>149799.16999999998</v>
      </c>
      <c r="AS145" s="133"/>
      <c r="AT145" s="152">
        <f t="shared" si="127"/>
        <v>93</v>
      </c>
      <c r="AU145" s="151">
        <f t="shared" si="93"/>
        <v>48487</v>
      </c>
      <c r="AV145" s="150">
        <f t="shared" si="128"/>
        <v>20300</v>
      </c>
      <c r="AW145" s="150">
        <f t="shared" si="94"/>
        <v>372.17</v>
      </c>
      <c r="AX145" s="150">
        <f t="shared" si="95"/>
        <v>0</v>
      </c>
      <c r="AY145" s="150">
        <f t="shared" si="96"/>
        <v>600</v>
      </c>
      <c r="AZ145" s="150">
        <f t="shared" si="97"/>
        <v>19700</v>
      </c>
      <c r="BA145" s="150">
        <f t="shared" si="129"/>
        <v>12850</v>
      </c>
      <c r="BB145" s="150">
        <f t="shared" si="98"/>
        <v>203.46</v>
      </c>
      <c r="BC145" s="150">
        <f t="shared" si="99"/>
        <v>0</v>
      </c>
      <c r="BD145" s="150">
        <f t="shared" si="100"/>
        <v>0</v>
      </c>
      <c r="BE145" s="150">
        <f t="shared" si="101"/>
        <v>12850</v>
      </c>
      <c r="BF145" s="150">
        <f t="shared" si="130"/>
        <v>0</v>
      </c>
      <c r="BG145" s="150">
        <f t="shared" si="102"/>
        <v>0</v>
      </c>
      <c r="BH145" s="150">
        <f t="shared" si="103"/>
        <v>0</v>
      </c>
      <c r="BI145" s="150">
        <f t="shared" si="104"/>
        <v>0</v>
      </c>
      <c r="BJ145" s="150">
        <f t="shared" si="105"/>
        <v>0</v>
      </c>
      <c r="BK145" s="150">
        <f t="shared" si="131"/>
        <v>115000</v>
      </c>
      <c r="BL145" s="150">
        <f t="shared" si="106"/>
        <v>575</v>
      </c>
      <c r="BM145" s="150">
        <f t="shared" si="107"/>
        <v>0</v>
      </c>
      <c r="BN145" s="150">
        <f t="shared" si="108"/>
        <v>0</v>
      </c>
      <c r="BO145" s="150">
        <f t="shared" si="109"/>
        <v>115000</v>
      </c>
      <c r="BP145" s="150">
        <f t="shared" si="132"/>
        <v>12000</v>
      </c>
      <c r="BQ145" s="150">
        <f t="shared" si="110"/>
        <v>50</v>
      </c>
      <c r="BR145" s="150">
        <f t="shared" si="111"/>
        <v>0</v>
      </c>
      <c r="BS145" s="150">
        <f t="shared" si="112"/>
        <v>0</v>
      </c>
      <c r="BT145" s="150">
        <f t="shared" si="113"/>
        <v>12000</v>
      </c>
      <c r="BU145" s="150">
        <f t="shared" si="133"/>
        <v>0</v>
      </c>
      <c r="BV145" s="150">
        <f t="shared" si="114"/>
        <v>0</v>
      </c>
      <c r="BW145" s="150">
        <f t="shared" si="115"/>
        <v>0</v>
      </c>
      <c r="BX145" s="150">
        <f t="shared" si="116"/>
        <v>0</v>
      </c>
      <c r="BY145" s="150">
        <f t="shared" si="117"/>
        <v>0</v>
      </c>
      <c r="BZ145" s="147">
        <f t="shared" si="134"/>
        <v>600</v>
      </c>
      <c r="CA145" s="147">
        <f t="shared" si="135"/>
        <v>143130.97000000006</v>
      </c>
    </row>
    <row r="146" spans="11:79">
      <c r="K146" s="132">
        <f t="shared" si="118"/>
        <v>94</v>
      </c>
      <c r="L146" s="148">
        <f t="shared" si="68"/>
        <v>48518</v>
      </c>
      <c r="M146" s="131">
        <f t="shared" si="119"/>
        <v>35000</v>
      </c>
      <c r="N146" s="131">
        <f t="shared" si="69"/>
        <v>641.66999999999996</v>
      </c>
      <c r="O146" s="131">
        <f t="shared" si="70"/>
        <v>0</v>
      </c>
      <c r="P146" s="131">
        <f t="shared" si="71"/>
        <v>0</v>
      </c>
      <c r="Q146" s="131">
        <f t="shared" si="72"/>
        <v>35000</v>
      </c>
      <c r="R146" s="131">
        <f t="shared" si="120"/>
        <v>7520</v>
      </c>
      <c r="S146" s="131">
        <f t="shared" si="73"/>
        <v>119.07</v>
      </c>
      <c r="T146" s="131">
        <f t="shared" si="74"/>
        <v>0</v>
      </c>
      <c r="U146" s="131">
        <f t="shared" si="75"/>
        <v>650</v>
      </c>
      <c r="V146" s="131">
        <f t="shared" si="76"/>
        <v>6870</v>
      </c>
      <c r="W146" s="131">
        <f t="shared" si="121"/>
        <v>0</v>
      </c>
      <c r="X146" s="131">
        <f t="shared" si="77"/>
        <v>0</v>
      </c>
      <c r="Y146" s="131">
        <f t="shared" si="78"/>
        <v>0</v>
      </c>
      <c r="Z146" s="131">
        <f t="shared" si="79"/>
        <v>0</v>
      </c>
      <c r="AA146" s="131">
        <f t="shared" si="80"/>
        <v>0</v>
      </c>
      <c r="AB146" s="131">
        <f t="shared" si="122"/>
        <v>115000</v>
      </c>
      <c r="AC146" s="131">
        <f t="shared" si="81"/>
        <v>575</v>
      </c>
      <c r="AD146" s="131">
        <f t="shared" si="82"/>
        <v>0</v>
      </c>
      <c r="AE146" s="131">
        <f t="shared" si="83"/>
        <v>0</v>
      </c>
      <c r="AF146" s="131">
        <f t="shared" si="84"/>
        <v>115000</v>
      </c>
      <c r="AG146" s="131">
        <f t="shared" si="123"/>
        <v>0</v>
      </c>
      <c r="AH146" s="131">
        <f t="shared" si="85"/>
        <v>0</v>
      </c>
      <c r="AI146" s="131">
        <f t="shared" si="86"/>
        <v>0</v>
      </c>
      <c r="AJ146" s="131">
        <f t="shared" si="87"/>
        <v>0</v>
      </c>
      <c r="AK146" s="131">
        <f t="shared" si="88"/>
        <v>0</v>
      </c>
      <c r="AL146" s="131">
        <f t="shared" si="124"/>
        <v>0</v>
      </c>
      <c r="AM146" s="131">
        <f t="shared" si="89"/>
        <v>0</v>
      </c>
      <c r="AN146" s="131">
        <f t="shared" si="90"/>
        <v>0</v>
      </c>
      <c r="AO146" s="131">
        <f t="shared" si="91"/>
        <v>0</v>
      </c>
      <c r="AP146" s="131">
        <f t="shared" si="92"/>
        <v>0</v>
      </c>
      <c r="AQ146" s="149">
        <f t="shared" si="125"/>
        <v>650</v>
      </c>
      <c r="AR146" s="149">
        <f t="shared" si="126"/>
        <v>151134.90999999997</v>
      </c>
      <c r="AS146" s="133"/>
      <c r="AT146" s="132">
        <f t="shared" si="127"/>
        <v>94</v>
      </c>
      <c r="AU146" s="148">
        <f t="shared" si="93"/>
        <v>48518</v>
      </c>
      <c r="AV146" s="131">
        <f t="shared" si="128"/>
        <v>19700</v>
      </c>
      <c r="AW146" s="131">
        <f t="shared" si="94"/>
        <v>361.17</v>
      </c>
      <c r="AX146" s="131">
        <f t="shared" si="95"/>
        <v>0</v>
      </c>
      <c r="AY146" s="131">
        <f t="shared" si="96"/>
        <v>600</v>
      </c>
      <c r="AZ146" s="131">
        <f t="shared" si="97"/>
        <v>19100</v>
      </c>
      <c r="BA146" s="131">
        <f t="shared" si="129"/>
        <v>12850</v>
      </c>
      <c r="BB146" s="131">
        <f t="shared" si="98"/>
        <v>203.46</v>
      </c>
      <c r="BC146" s="131">
        <f t="shared" si="99"/>
        <v>0</v>
      </c>
      <c r="BD146" s="131">
        <f t="shared" si="100"/>
        <v>0</v>
      </c>
      <c r="BE146" s="131">
        <f t="shared" si="101"/>
        <v>12850</v>
      </c>
      <c r="BF146" s="131">
        <f t="shared" si="130"/>
        <v>0</v>
      </c>
      <c r="BG146" s="131">
        <f t="shared" si="102"/>
        <v>0</v>
      </c>
      <c r="BH146" s="131">
        <f t="shared" si="103"/>
        <v>0</v>
      </c>
      <c r="BI146" s="131">
        <f t="shared" si="104"/>
        <v>0</v>
      </c>
      <c r="BJ146" s="131">
        <f t="shared" si="105"/>
        <v>0</v>
      </c>
      <c r="BK146" s="131">
        <f t="shared" si="131"/>
        <v>115000</v>
      </c>
      <c r="BL146" s="131">
        <f t="shared" si="106"/>
        <v>575</v>
      </c>
      <c r="BM146" s="131">
        <f t="shared" si="107"/>
        <v>0</v>
      </c>
      <c r="BN146" s="131">
        <f t="shared" si="108"/>
        <v>0</v>
      </c>
      <c r="BO146" s="131">
        <f t="shared" si="109"/>
        <v>115000</v>
      </c>
      <c r="BP146" s="131">
        <f t="shared" si="132"/>
        <v>12000</v>
      </c>
      <c r="BQ146" s="131">
        <f t="shared" si="110"/>
        <v>50</v>
      </c>
      <c r="BR146" s="131">
        <f t="shared" si="111"/>
        <v>0</v>
      </c>
      <c r="BS146" s="131">
        <f t="shared" si="112"/>
        <v>0</v>
      </c>
      <c r="BT146" s="131">
        <f t="shared" si="113"/>
        <v>12000</v>
      </c>
      <c r="BU146" s="131">
        <f t="shared" si="133"/>
        <v>0</v>
      </c>
      <c r="BV146" s="131">
        <f t="shared" si="114"/>
        <v>0</v>
      </c>
      <c r="BW146" s="131">
        <f t="shared" si="115"/>
        <v>0</v>
      </c>
      <c r="BX146" s="131">
        <f t="shared" si="116"/>
        <v>0</v>
      </c>
      <c r="BY146" s="131">
        <f t="shared" si="117"/>
        <v>0</v>
      </c>
      <c r="BZ146" s="147">
        <f t="shared" si="134"/>
        <v>600</v>
      </c>
      <c r="CA146" s="147">
        <f t="shared" si="135"/>
        <v>144320.60000000006</v>
      </c>
    </row>
    <row r="147" spans="11:79">
      <c r="K147" s="152">
        <f t="shared" si="118"/>
        <v>95</v>
      </c>
      <c r="L147" s="151">
        <f t="shared" si="68"/>
        <v>48548</v>
      </c>
      <c r="M147" s="150">
        <f t="shared" si="119"/>
        <v>35000</v>
      </c>
      <c r="N147" s="150">
        <f t="shared" si="69"/>
        <v>641.66999999999996</v>
      </c>
      <c r="O147" s="150">
        <f t="shared" si="70"/>
        <v>0</v>
      </c>
      <c r="P147" s="150">
        <f t="shared" si="71"/>
        <v>0</v>
      </c>
      <c r="Q147" s="150">
        <f t="shared" si="72"/>
        <v>35000</v>
      </c>
      <c r="R147" s="150">
        <f t="shared" si="120"/>
        <v>6870</v>
      </c>
      <c r="S147" s="150">
        <f t="shared" si="73"/>
        <v>108.78</v>
      </c>
      <c r="T147" s="150">
        <f t="shared" si="74"/>
        <v>0</v>
      </c>
      <c r="U147" s="150">
        <f t="shared" si="75"/>
        <v>650</v>
      </c>
      <c r="V147" s="150">
        <f t="shared" si="76"/>
        <v>6220</v>
      </c>
      <c r="W147" s="150">
        <f t="shared" si="121"/>
        <v>0</v>
      </c>
      <c r="X147" s="150">
        <f t="shared" si="77"/>
        <v>0</v>
      </c>
      <c r="Y147" s="150">
        <f t="shared" si="78"/>
        <v>0</v>
      </c>
      <c r="Z147" s="150">
        <f t="shared" si="79"/>
        <v>0</v>
      </c>
      <c r="AA147" s="150">
        <f t="shared" si="80"/>
        <v>0</v>
      </c>
      <c r="AB147" s="150">
        <f t="shared" si="122"/>
        <v>115000</v>
      </c>
      <c r="AC147" s="150">
        <f t="shared" si="81"/>
        <v>575</v>
      </c>
      <c r="AD147" s="150">
        <f t="shared" si="82"/>
        <v>0</v>
      </c>
      <c r="AE147" s="150">
        <f t="shared" si="83"/>
        <v>0</v>
      </c>
      <c r="AF147" s="150">
        <f t="shared" si="84"/>
        <v>115000</v>
      </c>
      <c r="AG147" s="150">
        <f t="shared" si="123"/>
        <v>0</v>
      </c>
      <c r="AH147" s="150">
        <f t="shared" si="85"/>
        <v>0</v>
      </c>
      <c r="AI147" s="150">
        <f t="shared" si="86"/>
        <v>0</v>
      </c>
      <c r="AJ147" s="150">
        <f t="shared" si="87"/>
        <v>0</v>
      </c>
      <c r="AK147" s="150">
        <f t="shared" si="88"/>
        <v>0</v>
      </c>
      <c r="AL147" s="150">
        <f t="shared" si="124"/>
        <v>0</v>
      </c>
      <c r="AM147" s="150">
        <f t="shared" si="89"/>
        <v>0</v>
      </c>
      <c r="AN147" s="150">
        <f t="shared" si="90"/>
        <v>0</v>
      </c>
      <c r="AO147" s="150">
        <f t="shared" si="91"/>
        <v>0</v>
      </c>
      <c r="AP147" s="150">
        <f t="shared" si="92"/>
        <v>0</v>
      </c>
      <c r="AQ147" s="149">
        <f t="shared" si="125"/>
        <v>650</v>
      </c>
      <c r="AR147" s="149">
        <f t="shared" si="126"/>
        <v>152460.35999999999</v>
      </c>
      <c r="AS147" s="133"/>
      <c r="AT147" s="152">
        <f t="shared" si="127"/>
        <v>95</v>
      </c>
      <c r="AU147" s="151">
        <f t="shared" si="93"/>
        <v>48548</v>
      </c>
      <c r="AV147" s="150">
        <f t="shared" si="128"/>
        <v>19100</v>
      </c>
      <c r="AW147" s="150">
        <f t="shared" si="94"/>
        <v>350.17</v>
      </c>
      <c r="AX147" s="150">
        <f t="shared" si="95"/>
        <v>0</v>
      </c>
      <c r="AY147" s="150">
        <f t="shared" si="96"/>
        <v>600</v>
      </c>
      <c r="AZ147" s="150">
        <f t="shared" si="97"/>
        <v>18500</v>
      </c>
      <c r="BA147" s="150">
        <f t="shared" si="129"/>
        <v>12850</v>
      </c>
      <c r="BB147" s="150">
        <f t="shared" si="98"/>
        <v>203.46</v>
      </c>
      <c r="BC147" s="150">
        <f t="shared" si="99"/>
        <v>0</v>
      </c>
      <c r="BD147" s="150">
        <f t="shared" si="100"/>
        <v>0</v>
      </c>
      <c r="BE147" s="150">
        <f t="shared" si="101"/>
        <v>12850</v>
      </c>
      <c r="BF147" s="150">
        <f t="shared" si="130"/>
        <v>0</v>
      </c>
      <c r="BG147" s="150">
        <f t="shared" si="102"/>
        <v>0</v>
      </c>
      <c r="BH147" s="150">
        <f t="shared" si="103"/>
        <v>0</v>
      </c>
      <c r="BI147" s="150">
        <f t="shared" si="104"/>
        <v>0</v>
      </c>
      <c r="BJ147" s="150">
        <f t="shared" si="105"/>
        <v>0</v>
      </c>
      <c r="BK147" s="150">
        <f t="shared" si="131"/>
        <v>115000</v>
      </c>
      <c r="BL147" s="150">
        <f t="shared" si="106"/>
        <v>575</v>
      </c>
      <c r="BM147" s="150">
        <f t="shared" si="107"/>
        <v>0</v>
      </c>
      <c r="BN147" s="150">
        <f t="shared" si="108"/>
        <v>0</v>
      </c>
      <c r="BO147" s="150">
        <f t="shared" si="109"/>
        <v>115000</v>
      </c>
      <c r="BP147" s="150">
        <f t="shared" si="132"/>
        <v>12000</v>
      </c>
      <c r="BQ147" s="150">
        <f t="shared" si="110"/>
        <v>50</v>
      </c>
      <c r="BR147" s="150">
        <f t="shared" si="111"/>
        <v>0</v>
      </c>
      <c r="BS147" s="150">
        <f t="shared" si="112"/>
        <v>0</v>
      </c>
      <c r="BT147" s="150">
        <f t="shared" si="113"/>
        <v>12000</v>
      </c>
      <c r="BU147" s="150">
        <f t="shared" si="133"/>
        <v>0</v>
      </c>
      <c r="BV147" s="150">
        <f t="shared" si="114"/>
        <v>0</v>
      </c>
      <c r="BW147" s="150">
        <f t="shared" si="115"/>
        <v>0</v>
      </c>
      <c r="BX147" s="150">
        <f t="shared" si="116"/>
        <v>0</v>
      </c>
      <c r="BY147" s="150">
        <f t="shared" si="117"/>
        <v>0</v>
      </c>
      <c r="BZ147" s="147">
        <f t="shared" si="134"/>
        <v>600</v>
      </c>
      <c r="CA147" s="147">
        <f t="shared" si="135"/>
        <v>145499.23000000007</v>
      </c>
    </row>
    <row r="148" spans="11:79">
      <c r="K148" s="132">
        <f t="shared" si="118"/>
        <v>96</v>
      </c>
      <c r="L148" s="148">
        <f t="shared" si="68"/>
        <v>48579</v>
      </c>
      <c r="M148" s="131">
        <f t="shared" si="119"/>
        <v>35000</v>
      </c>
      <c r="N148" s="131">
        <f t="shared" si="69"/>
        <v>641.66999999999996</v>
      </c>
      <c r="O148" s="131">
        <f t="shared" si="70"/>
        <v>0</v>
      </c>
      <c r="P148" s="131">
        <f t="shared" si="71"/>
        <v>0</v>
      </c>
      <c r="Q148" s="131">
        <f t="shared" si="72"/>
        <v>35000</v>
      </c>
      <c r="R148" s="131">
        <f t="shared" si="120"/>
        <v>6220</v>
      </c>
      <c r="S148" s="131">
        <f t="shared" si="73"/>
        <v>98.48</v>
      </c>
      <c r="T148" s="131">
        <f t="shared" si="74"/>
        <v>1.519999999999996</v>
      </c>
      <c r="U148" s="131">
        <f t="shared" si="75"/>
        <v>650</v>
      </c>
      <c r="V148" s="131">
        <f t="shared" si="76"/>
        <v>5568.48</v>
      </c>
      <c r="W148" s="131">
        <f t="shared" si="121"/>
        <v>0</v>
      </c>
      <c r="X148" s="131">
        <f t="shared" si="77"/>
        <v>0</v>
      </c>
      <c r="Y148" s="131">
        <f t="shared" si="78"/>
        <v>0</v>
      </c>
      <c r="Z148" s="131">
        <f t="shared" si="79"/>
        <v>0</v>
      </c>
      <c r="AA148" s="131">
        <f t="shared" si="80"/>
        <v>0</v>
      </c>
      <c r="AB148" s="131">
        <f t="shared" si="122"/>
        <v>115000</v>
      </c>
      <c r="AC148" s="131">
        <f t="shared" si="81"/>
        <v>575</v>
      </c>
      <c r="AD148" s="131">
        <f t="shared" si="82"/>
        <v>0</v>
      </c>
      <c r="AE148" s="131">
        <f t="shared" si="83"/>
        <v>0</v>
      </c>
      <c r="AF148" s="131">
        <f t="shared" si="84"/>
        <v>115000</v>
      </c>
      <c r="AG148" s="131">
        <f t="shared" si="123"/>
        <v>0</v>
      </c>
      <c r="AH148" s="131">
        <f t="shared" si="85"/>
        <v>0</v>
      </c>
      <c r="AI148" s="131">
        <f t="shared" si="86"/>
        <v>0</v>
      </c>
      <c r="AJ148" s="131">
        <f t="shared" si="87"/>
        <v>0</v>
      </c>
      <c r="AK148" s="131">
        <f t="shared" si="88"/>
        <v>0</v>
      </c>
      <c r="AL148" s="131">
        <f t="shared" si="124"/>
        <v>0</v>
      </c>
      <c r="AM148" s="131">
        <f t="shared" si="89"/>
        <v>0</v>
      </c>
      <c r="AN148" s="131">
        <f t="shared" si="90"/>
        <v>0</v>
      </c>
      <c r="AO148" s="131">
        <f t="shared" si="91"/>
        <v>0</v>
      </c>
      <c r="AP148" s="131">
        <f t="shared" si="92"/>
        <v>0</v>
      </c>
      <c r="AQ148" s="149">
        <f t="shared" si="125"/>
        <v>650</v>
      </c>
      <c r="AR148" s="149">
        <f t="shared" si="126"/>
        <v>153775.50999999998</v>
      </c>
      <c r="AS148" s="133"/>
      <c r="AT148" s="132">
        <f t="shared" si="127"/>
        <v>96</v>
      </c>
      <c r="AU148" s="148">
        <f t="shared" si="93"/>
        <v>48579</v>
      </c>
      <c r="AV148" s="131">
        <f t="shared" si="128"/>
        <v>18500</v>
      </c>
      <c r="AW148" s="131">
        <f t="shared" si="94"/>
        <v>339.17</v>
      </c>
      <c r="AX148" s="131">
        <f t="shared" si="95"/>
        <v>0</v>
      </c>
      <c r="AY148" s="131">
        <f t="shared" si="96"/>
        <v>600</v>
      </c>
      <c r="AZ148" s="131">
        <f t="shared" si="97"/>
        <v>17900</v>
      </c>
      <c r="BA148" s="131">
        <f t="shared" si="129"/>
        <v>12850</v>
      </c>
      <c r="BB148" s="131">
        <f t="shared" si="98"/>
        <v>203.46</v>
      </c>
      <c r="BC148" s="131">
        <f t="shared" si="99"/>
        <v>0</v>
      </c>
      <c r="BD148" s="131">
        <f t="shared" si="100"/>
        <v>0</v>
      </c>
      <c r="BE148" s="131">
        <f t="shared" si="101"/>
        <v>12850</v>
      </c>
      <c r="BF148" s="131">
        <f t="shared" si="130"/>
        <v>0</v>
      </c>
      <c r="BG148" s="131">
        <f t="shared" si="102"/>
        <v>0</v>
      </c>
      <c r="BH148" s="131">
        <f t="shared" si="103"/>
        <v>0</v>
      </c>
      <c r="BI148" s="131">
        <f t="shared" si="104"/>
        <v>0</v>
      </c>
      <c r="BJ148" s="131">
        <f t="shared" si="105"/>
        <v>0</v>
      </c>
      <c r="BK148" s="131">
        <f t="shared" si="131"/>
        <v>115000</v>
      </c>
      <c r="BL148" s="131">
        <f t="shared" si="106"/>
        <v>575</v>
      </c>
      <c r="BM148" s="131">
        <f t="shared" si="107"/>
        <v>0</v>
      </c>
      <c r="BN148" s="131">
        <f t="shared" si="108"/>
        <v>0</v>
      </c>
      <c r="BO148" s="131">
        <f t="shared" si="109"/>
        <v>115000</v>
      </c>
      <c r="BP148" s="131">
        <f t="shared" si="132"/>
        <v>12000</v>
      </c>
      <c r="BQ148" s="131">
        <f t="shared" si="110"/>
        <v>50</v>
      </c>
      <c r="BR148" s="131">
        <f t="shared" si="111"/>
        <v>0</v>
      </c>
      <c r="BS148" s="131">
        <f t="shared" si="112"/>
        <v>0</v>
      </c>
      <c r="BT148" s="131">
        <f t="shared" si="113"/>
        <v>12000</v>
      </c>
      <c r="BU148" s="131">
        <f t="shared" si="133"/>
        <v>0</v>
      </c>
      <c r="BV148" s="131">
        <f t="shared" si="114"/>
        <v>0</v>
      </c>
      <c r="BW148" s="131">
        <f t="shared" si="115"/>
        <v>0</v>
      </c>
      <c r="BX148" s="131">
        <f t="shared" si="116"/>
        <v>0</v>
      </c>
      <c r="BY148" s="131">
        <f t="shared" si="117"/>
        <v>0</v>
      </c>
      <c r="BZ148" s="147">
        <f t="shared" si="134"/>
        <v>600</v>
      </c>
      <c r="CA148" s="147">
        <f t="shared" si="135"/>
        <v>146666.86000000007</v>
      </c>
    </row>
    <row r="149" spans="11:79">
      <c r="K149" s="152">
        <f t="shared" si="118"/>
        <v>97</v>
      </c>
      <c r="L149" s="151">
        <f t="shared" si="68"/>
        <v>48610</v>
      </c>
      <c r="M149" s="150">
        <f t="shared" si="119"/>
        <v>35000</v>
      </c>
      <c r="N149" s="150">
        <f t="shared" si="69"/>
        <v>641.66999999999996</v>
      </c>
      <c r="O149" s="150">
        <f t="shared" si="70"/>
        <v>0</v>
      </c>
      <c r="P149" s="150">
        <f t="shared" si="71"/>
        <v>0</v>
      </c>
      <c r="Q149" s="150">
        <f t="shared" si="72"/>
        <v>35000</v>
      </c>
      <c r="R149" s="150">
        <f t="shared" si="120"/>
        <v>5568.48</v>
      </c>
      <c r="S149" s="150">
        <f t="shared" si="73"/>
        <v>88.17</v>
      </c>
      <c r="T149" s="150">
        <f t="shared" si="74"/>
        <v>11.829999999999998</v>
      </c>
      <c r="U149" s="150">
        <f t="shared" si="75"/>
        <v>650</v>
      </c>
      <c r="V149" s="150">
        <f t="shared" si="76"/>
        <v>4906.6499999999996</v>
      </c>
      <c r="W149" s="150">
        <f t="shared" si="121"/>
        <v>0</v>
      </c>
      <c r="X149" s="150">
        <f t="shared" si="77"/>
        <v>0</v>
      </c>
      <c r="Y149" s="150">
        <f t="shared" si="78"/>
        <v>0</v>
      </c>
      <c r="Z149" s="150">
        <f t="shared" si="79"/>
        <v>0</v>
      </c>
      <c r="AA149" s="150">
        <f t="shared" si="80"/>
        <v>0</v>
      </c>
      <c r="AB149" s="150">
        <f t="shared" si="122"/>
        <v>115000</v>
      </c>
      <c r="AC149" s="150">
        <f t="shared" si="81"/>
        <v>575</v>
      </c>
      <c r="AD149" s="150">
        <f t="shared" si="82"/>
        <v>0</v>
      </c>
      <c r="AE149" s="150">
        <f t="shared" si="83"/>
        <v>0</v>
      </c>
      <c r="AF149" s="150">
        <f t="shared" si="84"/>
        <v>115000</v>
      </c>
      <c r="AG149" s="150">
        <f t="shared" si="123"/>
        <v>0</v>
      </c>
      <c r="AH149" s="150">
        <f t="shared" si="85"/>
        <v>0</v>
      </c>
      <c r="AI149" s="150">
        <f t="shared" si="86"/>
        <v>0</v>
      </c>
      <c r="AJ149" s="150">
        <f t="shared" si="87"/>
        <v>0</v>
      </c>
      <c r="AK149" s="150">
        <f t="shared" si="88"/>
        <v>0</v>
      </c>
      <c r="AL149" s="150">
        <f t="shared" si="124"/>
        <v>0</v>
      </c>
      <c r="AM149" s="150">
        <f t="shared" si="89"/>
        <v>0</v>
      </c>
      <c r="AN149" s="150">
        <f t="shared" si="90"/>
        <v>0</v>
      </c>
      <c r="AO149" s="150">
        <f t="shared" si="91"/>
        <v>0</v>
      </c>
      <c r="AP149" s="150">
        <f t="shared" si="92"/>
        <v>0</v>
      </c>
      <c r="AQ149" s="149">
        <f t="shared" si="125"/>
        <v>650</v>
      </c>
      <c r="AR149" s="149">
        <f t="shared" si="126"/>
        <v>155080.34999999998</v>
      </c>
      <c r="AS149" s="133"/>
      <c r="AT149" s="152">
        <f t="shared" si="127"/>
        <v>97</v>
      </c>
      <c r="AU149" s="151">
        <f t="shared" si="93"/>
        <v>48610</v>
      </c>
      <c r="AV149" s="150">
        <f t="shared" si="128"/>
        <v>17900</v>
      </c>
      <c r="AW149" s="150">
        <f t="shared" si="94"/>
        <v>328.17</v>
      </c>
      <c r="AX149" s="150">
        <f t="shared" si="95"/>
        <v>0</v>
      </c>
      <c r="AY149" s="150">
        <f t="shared" si="96"/>
        <v>600</v>
      </c>
      <c r="AZ149" s="150">
        <f t="shared" si="97"/>
        <v>17300</v>
      </c>
      <c r="BA149" s="150">
        <f t="shared" si="129"/>
        <v>12850</v>
      </c>
      <c r="BB149" s="150">
        <f t="shared" si="98"/>
        <v>203.46</v>
      </c>
      <c r="BC149" s="150">
        <f t="shared" si="99"/>
        <v>0</v>
      </c>
      <c r="BD149" s="150">
        <f t="shared" si="100"/>
        <v>0</v>
      </c>
      <c r="BE149" s="150">
        <f t="shared" si="101"/>
        <v>12850</v>
      </c>
      <c r="BF149" s="150">
        <f t="shared" si="130"/>
        <v>0</v>
      </c>
      <c r="BG149" s="150">
        <f t="shared" si="102"/>
        <v>0</v>
      </c>
      <c r="BH149" s="150">
        <f t="shared" si="103"/>
        <v>0</v>
      </c>
      <c r="BI149" s="150">
        <f t="shared" si="104"/>
        <v>0</v>
      </c>
      <c r="BJ149" s="150">
        <f t="shared" si="105"/>
        <v>0</v>
      </c>
      <c r="BK149" s="150">
        <f t="shared" si="131"/>
        <v>115000</v>
      </c>
      <c r="BL149" s="150">
        <f t="shared" si="106"/>
        <v>575</v>
      </c>
      <c r="BM149" s="150">
        <f t="shared" si="107"/>
        <v>0</v>
      </c>
      <c r="BN149" s="150">
        <f t="shared" si="108"/>
        <v>0</v>
      </c>
      <c r="BO149" s="150">
        <f t="shared" si="109"/>
        <v>115000</v>
      </c>
      <c r="BP149" s="150">
        <f t="shared" si="132"/>
        <v>12000</v>
      </c>
      <c r="BQ149" s="150">
        <f t="shared" si="110"/>
        <v>50</v>
      </c>
      <c r="BR149" s="150">
        <f t="shared" si="111"/>
        <v>0</v>
      </c>
      <c r="BS149" s="150">
        <f t="shared" si="112"/>
        <v>0</v>
      </c>
      <c r="BT149" s="150">
        <f t="shared" si="113"/>
        <v>12000</v>
      </c>
      <c r="BU149" s="150">
        <f t="shared" si="133"/>
        <v>0</v>
      </c>
      <c r="BV149" s="150">
        <f t="shared" si="114"/>
        <v>0</v>
      </c>
      <c r="BW149" s="150">
        <f t="shared" si="115"/>
        <v>0</v>
      </c>
      <c r="BX149" s="150">
        <f t="shared" si="116"/>
        <v>0</v>
      </c>
      <c r="BY149" s="150">
        <f t="shared" si="117"/>
        <v>0</v>
      </c>
      <c r="BZ149" s="147">
        <f t="shared" si="134"/>
        <v>600</v>
      </c>
      <c r="CA149" s="147">
        <f t="shared" si="135"/>
        <v>147823.49000000008</v>
      </c>
    </row>
    <row r="150" spans="11:79">
      <c r="K150" s="132">
        <f t="shared" si="118"/>
        <v>98</v>
      </c>
      <c r="L150" s="148">
        <f t="shared" si="68"/>
        <v>48638</v>
      </c>
      <c r="M150" s="131">
        <f t="shared" si="119"/>
        <v>35000</v>
      </c>
      <c r="N150" s="131">
        <f t="shared" si="69"/>
        <v>641.66999999999996</v>
      </c>
      <c r="O150" s="131">
        <f t="shared" si="70"/>
        <v>0</v>
      </c>
      <c r="P150" s="131">
        <f t="shared" si="71"/>
        <v>0</v>
      </c>
      <c r="Q150" s="131">
        <f t="shared" si="72"/>
        <v>35000</v>
      </c>
      <c r="R150" s="131">
        <f t="shared" si="120"/>
        <v>4906.6499999999996</v>
      </c>
      <c r="S150" s="131">
        <f t="shared" si="73"/>
        <v>77.69</v>
      </c>
      <c r="T150" s="131">
        <f t="shared" si="74"/>
        <v>22.310000000000002</v>
      </c>
      <c r="U150" s="131">
        <f t="shared" si="75"/>
        <v>650</v>
      </c>
      <c r="V150" s="131">
        <f t="shared" si="76"/>
        <v>4234.34</v>
      </c>
      <c r="W150" s="131">
        <f t="shared" si="121"/>
        <v>0</v>
      </c>
      <c r="X150" s="131">
        <f t="shared" si="77"/>
        <v>0</v>
      </c>
      <c r="Y150" s="131">
        <f t="shared" si="78"/>
        <v>0</v>
      </c>
      <c r="Z150" s="131">
        <f t="shared" si="79"/>
        <v>0</v>
      </c>
      <c r="AA150" s="131">
        <f t="shared" si="80"/>
        <v>0</v>
      </c>
      <c r="AB150" s="131">
        <f t="shared" si="122"/>
        <v>115000</v>
      </c>
      <c r="AC150" s="131">
        <f t="shared" si="81"/>
        <v>575</v>
      </c>
      <c r="AD150" s="131">
        <f t="shared" si="82"/>
        <v>0</v>
      </c>
      <c r="AE150" s="131">
        <f t="shared" si="83"/>
        <v>0</v>
      </c>
      <c r="AF150" s="131">
        <f t="shared" si="84"/>
        <v>115000</v>
      </c>
      <c r="AG150" s="131">
        <f t="shared" si="123"/>
        <v>0</v>
      </c>
      <c r="AH150" s="131">
        <f t="shared" si="85"/>
        <v>0</v>
      </c>
      <c r="AI150" s="131">
        <f t="shared" si="86"/>
        <v>0</v>
      </c>
      <c r="AJ150" s="131">
        <f t="shared" si="87"/>
        <v>0</v>
      </c>
      <c r="AK150" s="131">
        <f t="shared" si="88"/>
        <v>0</v>
      </c>
      <c r="AL150" s="131">
        <f t="shared" si="124"/>
        <v>0</v>
      </c>
      <c r="AM150" s="131">
        <f t="shared" si="89"/>
        <v>0</v>
      </c>
      <c r="AN150" s="131">
        <f t="shared" si="90"/>
        <v>0</v>
      </c>
      <c r="AO150" s="131">
        <f t="shared" si="91"/>
        <v>0</v>
      </c>
      <c r="AP150" s="131">
        <f t="shared" si="92"/>
        <v>0</v>
      </c>
      <c r="AQ150" s="149">
        <f t="shared" si="125"/>
        <v>650</v>
      </c>
      <c r="AR150" s="149">
        <f t="shared" si="126"/>
        <v>156374.70999999996</v>
      </c>
      <c r="AS150" s="133"/>
      <c r="AT150" s="132">
        <f t="shared" si="127"/>
        <v>98</v>
      </c>
      <c r="AU150" s="148">
        <f t="shared" si="93"/>
        <v>48638</v>
      </c>
      <c r="AV150" s="131">
        <f t="shared" si="128"/>
        <v>17300</v>
      </c>
      <c r="AW150" s="131">
        <f t="shared" si="94"/>
        <v>317.17</v>
      </c>
      <c r="AX150" s="131">
        <f t="shared" si="95"/>
        <v>0</v>
      </c>
      <c r="AY150" s="131">
        <f t="shared" si="96"/>
        <v>600</v>
      </c>
      <c r="AZ150" s="131">
        <f t="shared" si="97"/>
        <v>16700</v>
      </c>
      <c r="BA150" s="131">
        <f t="shared" si="129"/>
        <v>12850</v>
      </c>
      <c r="BB150" s="131">
        <f t="shared" si="98"/>
        <v>203.46</v>
      </c>
      <c r="BC150" s="131">
        <f t="shared" si="99"/>
        <v>0</v>
      </c>
      <c r="BD150" s="131">
        <f t="shared" si="100"/>
        <v>0</v>
      </c>
      <c r="BE150" s="131">
        <f t="shared" si="101"/>
        <v>12850</v>
      </c>
      <c r="BF150" s="131">
        <f t="shared" si="130"/>
        <v>0</v>
      </c>
      <c r="BG150" s="131">
        <f t="shared" si="102"/>
        <v>0</v>
      </c>
      <c r="BH150" s="131">
        <f t="shared" si="103"/>
        <v>0</v>
      </c>
      <c r="BI150" s="131">
        <f t="shared" si="104"/>
        <v>0</v>
      </c>
      <c r="BJ150" s="131">
        <f t="shared" si="105"/>
        <v>0</v>
      </c>
      <c r="BK150" s="131">
        <f t="shared" si="131"/>
        <v>115000</v>
      </c>
      <c r="BL150" s="131">
        <f t="shared" si="106"/>
        <v>575</v>
      </c>
      <c r="BM150" s="131">
        <f t="shared" si="107"/>
        <v>0</v>
      </c>
      <c r="BN150" s="131">
        <f t="shared" si="108"/>
        <v>0</v>
      </c>
      <c r="BO150" s="131">
        <f t="shared" si="109"/>
        <v>115000</v>
      </c>
      <c r="BP150" s="131">
        <f t="shared" si="132"/>
        <v>12000</v>
      </c>
      <c r="BQ150" s="131">
        <f t="shared" si="110"/>
        <v>50</v>
      </c>
      <c r="BR150" s="131">
        <f t="shared" si="111"/>
        <v>0</v>
      </c>
      <c r="BS150" s="131">
        <f t="shared" si="112"/>
        <v>0</v>
      </c>
      <c r="BT150" s="131">
        <f t="shared" si="113"/>
        <v>12000</v>
      </c>
      <c r="BU150" s="131">
        <f t="shared" si="133"/>
        <v>0</v>
      </c>
      <c r="BV150" s="131">
        <f t="shared" si="114"/>
        <v>0</v>
      </c>
      <c r="BW150" s="131">
        <f t="shared" si="115"/>
        <v>0</v>
      </c>
      <c r="BX150" s="131">
        <f t="shared" si="116"/>
        <v>0</v>
      </c>
      <c r="BY150" s="131">
        <f t="shared" si="117"/>
        <v>0</v>
      </c>
      <c r="BZ150" s="147">
        <f t="shared" si="134"/>
        <v>600</v>
      </c>
      <c r="CA150" s="147">
        <f t="shared" si="135"/>
        <v>148969.12000000008</v>
      </c>
    </row>
    <row r="151" spans="11:79">
      <c r="K151" s="152">
        <f t="shared" si="118"/>
        <v>99</v>
      </c>
      <c r="L151" s="151">
        <f t="shared" si="68"/>
        <v>48669</v>
      </c>
      <c r="M151" s="150">
        <f t="shared" si="119"/>
        <v>35000</v>
      </c>
      <c r="N151" s="150">
        <f t="shared" si="69"/>
        <v>641.66999999999996</v>
      </c>
      <c r="O151" s="150">
        <f t="shared" si="70"/>
        <v>0</v>
      </c>
      <c r="P151" s="150">
        <f t="shared" si="71"/>
        <v>0</v>
      </c>
      <c r="Q151" s="150">
        <f t="shared" si="72"/>
        <v>35000</v>
      </c>
      <c r="R151" s="150">
        <f t="shared" si="120"/>
        <v>4234.34</v>
      </c>
      <c r="S151" s="150">
        <f t="shared" si="73"/>
        <v>67.040000000000006</v>
      </c>
      <c r="T151" s="150">
        <f t="shared" si="74"/>
        <v>32.959999999999994</v>
      </c>
      <c r="U151" s="150">
        <f t="shared" si="75"/>
        <v>650</v>
      </c>
      <c r="V151" s="150">
        <f t="shared" si="76"/>
        <v>3551.38</v>
      </c>
      <c r="W151" s="150">
        <f t="shared" si="121"/>
        <v>0</v>
      </c>
      <c r="X151" s="150">
        <f t="shared" si="77"/>
        <v>0</v>
      </c>
      <c r="Y151" s="150">
        <f t="shared" si="78"/>
        <v>0</v>
      </c>
      <c r="Z151" s="150">
        <f t="shared" si="79"/>
        <v>0</v>
      </c>
      <c r="AA151" s="150">
        <f t="shared" si="80"/>
        <v>0</v>
      </c>
      <c r="AB151" s="150">
        <f t="shared" si="122"/>
        <v>115000</v>
      </c>
      <c r="AC151" s="150">
        <f t="shared" si="81"/>
        <v>575</v>
      </c>
      <c r="AD151" s="150">
        <f t="shared" si="82"/>
        <v>0</v>
      </c>
      <c r="AE151" s="150">
        <f t="shared" si="83"/>
        <v>0</v>
      </c>
      <c r="AF151" s="150">
        <f t="shared" si="84"/>
        <v>115000</v>
      </c>
      <c r="AG151" s="150">
        <f t="shared" si="123"/>
        <v>0</v>
      </c>
      <c r="AH151" s="150">
        <f t="shared" si="85"/>
        <v>0</v>
      </c>
      <c r="AI151" s="150">
        <f t="shared" si="86"/>
        <v>0</v>
      </c>
      <c r="AJ151" s="150">
        <f t="shared" si="87"/>
        <v>0</v>
      </c>
      <c r="AK151" s="150">
        <f t="shared" si="88"/>
        <v>0</v>
      </c>
      <c r="AL151" s="150">
        <f t="shared" si="124"/>
        <v>0</v>
      </c>
      <c r="AM151" s="150">
        <f t="shared" si="89"/>
        <v>0</v>
      </c>
      <c r="AN151" s="150">
        <f t="shared" si="90"/>
        <v>0</v>
      </c>
      <c r="AO151" s="150">
        <f t="shared" si="91"/>
        <v>0</v>
      </c>
      <c r="AP151" s="150">
        <f t="shared" si="92"/>
        <v>0</v>
      </c>
      <c r="AQ151" s="149">
        <f t="shared" si="125"/>
        <v>650</v>
      </c>
      <c r="AR151" s="149">
        <f t="shared" si="126"/>
        <v>157658.41999999995</v>
      </c>
      <c r="AS151" s="133"/>
      <c r="AT151" s="152">
        <f t="shared" si="127"/>
        <v>99</v>
      </c>
      <c r="AU151" s="151">
        <f t="shared" si="93"/>
        <v>48669</v>
      </c>
      <c r="AV151" s="150">
        <f t="shared" si="128"/>
        <v>16700</v>
      </c>
      <c r="AW151" s="150">
        <f t="shared" si="94"/>
        <v>306.17</v>
      </c>
      <c r="AX151" s="150">
        <f t="shared" si="95"/>
        <v>0</v>
      </c>
      <c r="AY151" s="150">
        <f t="shared" si="96"/>
        <v>600</v>
      </c>
      <c r="AZ151" s="150">
        <f t="shared" si="97"/>
        <v>16100</v>
      </c>
      <c r="BA151" s="150">
        <f t="shared" si="129"/>
        <v>12850</v>
      </c>
      <c r="BB151" s="150">
        <f t="shared" si="98"/>
        <v>203.46</v>
      </c>
      <c r="BC151" s="150">
        <f t="shared" si="99"/>
        <v>0</v>
      </c>
      <c r="BD151" s="150">
        <f t="shared" si="100"/>
        <v>0</v>
      </c>
      <c r="BE151" s="150">
        <f t="shared" si="101"/>
        <v>12850</v>
      </c>
      <c r="BF151" s="150">
        <f t="shared" si="130"/>
        <v>0</v>
      </c>
      <c r="BG151" s="150">
        <f t="shared" si="102"/>
        <v>0</v>
      </c>
      <c r="BH151" s="150">
        <f t="shared" si="103"/>
        <v>0</v>
      </c>
      <c r="BI151" s="150">
        <f t="shared" si="104"/>
        <v>0</v>
      </c>
      <c r="BJ151" s="150">
        <f t="shared" si="105"/>
        <v>0</v>
      </c>
      <c r="BK151" s="150">
        <f t="shared" si="131"/>
        <v>115000</v>
      </c>
      <c r="BL151" s="150">
        <f t="shared" si="106"/>
        <v>575</v>
      </c>
      <c r="BM151" s="150">
        <f t="shared" si="107"/>
        <v>0</v>
      </c>
      <c r="BN151" s="150">
        <f t="shared" si="108"/>
        <v>0</v>
      </c>
      <c r="BO151" s="150">
        <f t="shared" si="109"/>
        <v>115000</v>
      </c>
      <c r="BP151" s="150">
        <f t="shared" si="132"/>
        <v>12000</v>
      </c>
      <c r="BQ151" s="150">
        <f t="shared" si="110"/>
        <v>50</v>
      </c>
      <c r="BR151" s="150">
        <f t="shared" si="111"/>
        <v>0</v>
      </c>
      <c r="BS151" s="150">
        <f t="shared" si="112"/>
        <v>0</v>
      </c>
      <c r="BT151" s="150">
        <f t="shared" si="113"/>
        <v>12000</v>
      </c>
      <c r="BU151" s="150">
        <f t="shared" si="133"/>
        <v>0</v>
      </c>
      <c r="BV151" s="150">
        <f t="shared" si="114"/>
        <v>0</v>
      </c>
      <c r="BW151" s="150">
        <f t="shared" si="115"/>
        <v>0</v>
      </c>
      <c r="BX151" s="150">
        <f t="shared" si="116"/>
        <v>0</v>
      </c>
      <c r="BY151" s="150">
        <f t="shared" si="117"/>
        <v>0</v>
      </c>
      <c r="BZ151" s="147">
        <f t="shared" si="134"/>
        <v>600</v>
      </c>
      <c r="CA151" s="147">
        <f t="shared" si="135"/>
        <v>150103.75000000009</v>
      </c>
    </row>
    <row r="152" spans="11:79">
      <c r="K152" s="132">
        <f t="shared" si="118"/>
        <v>100</v>
      </c>
      <c r="L152" s="148">
        <f t="shared" si="68"/>
        <v>48699</v>
      </c>
      <c r="M152" s="131">
        <f t="shared" si="119"/>
        <v>35000</v>
      </c>
      <c r="N152" s="131">
        <f t="shared" si="69"/>
        <v>641.66999999999996</v>
      </c>
      <c r="O152" s="131">
        <f t="shared" si="70"/>
        <v>0</v>
      </c>
      <c r="P152" s="131">
        <f t="shared" si="71"/>
        <v>0</v>
      </c>
      <c r="Q152" s="131">
        <f t="shared" si="72"/>
        <v>35000</v>
      </c>
      <c r="R152" s="131">
        <f t="shared" si="120"/>
        <v>3551.38</v>
      </c>
      <c r="S152" s="131">
        <f t="shared" si="73"/>
        <v>56.23</v>
      </c>
      <c r="T152" s="131">
        <f t="shared" si="74"/>
        <v>43.77</v>
      </c>
      <c r="U152" s="131">
        <f t="shared" si="75"/>
        <v>650</v>
      </c>
      <c r="V152" s="131">
        <f t="shared" si="76"/>
        <v>2857.61</v>
      </c>
      <c r="W152" s="131">
        <f t="shared" si="121"/>
        <v>0</v>
      </c>
      <c r="X152" s="131">
        <f t="shared" si="77"/>
        <v>0</v>
      </c>
      <c r="Y152" s="131">
        <f t="shared" si="78"/>
        <v>0</v>
      </c>
      <c r="Z152" s="131">
        <f t="shared" si="79"/>
        <v>0</v>
      </c>
      <c r="AA152" s="131">
        <f t="shared" si="80"/>
        <v>0</v>
      </c>
      <c r="AB152" s="131">
        <f t="shared" si="122"/>
        <v>115000</v>
      </c>
      <c r="AC152" s="131">
        <f t="shared" si="81"/>
        <v>575</v>
      </c>
      <c r="AD152" s="131">
        <f t="shared" si="82"/>
        <v>0</v>
      </c>
      <c r="AE152" s="131">
        <f t="shared" si="83"/>
        <v>0</v>
      </c>
      <c r="AF152" s="131">
        <f t="shared" si="84"/>
        <v>115000</v>
      </c>
      <c r="AG152" s="131">
        <f t="shared" si="123"/>
        <v>0</v>
      </c>
      <c r="AH152" s="131">
        <f t="shared" si="85"/>
        <v>0</v>
      </c>
      <c r="AI152" s="131">
        <f t="shared" si="86"/>
        <v>0</v>
      </c>
      <c r="AJ152" s="131">
        <f t="shared" si="87"/>
        <v>0</v>
      </c>
      <c r="AK152" s="131">
        <f t="shared" si="88"/>
        <v>0</v>
      </c>
      <c r="AL152" s="131">
        <f t="shared" si="124"/>
        <v>0</v>
      </c>
      <c r="AM152" s="131">
        <f t="shared" si="89"/>
        <v>0</v>
      </c>
      <c r="AN152" s="131">
        <f t="shared" si="90"/>
        <v>0</v>
      </c>
      <c r="AO152" s="131">
        <f t="shared" si="91"/>
        <v>0</v>
      </c>
      <c r="AP152" s="131">
        <f t="shared" si="92"/>
        <v>0</v>
      </c>
      <c r="AQ152" s="149">
        <f t="shared" si="125"/>
        <v>650</v>
      </c>
      <c r="AR152" s="149">
        <f t="shared" si="126"/>
        <v>158931.31999999995</v>
      </c>
      <c r="AS152" s="133"/>
      <c r="AT152" s="132">
        <f t="shared" si="127"/>
        <v>100</v>
      </c>
      <c r="AU152" s="148">
        <f t="shared" si="93"/>
        <v>48699</v>
      </c>
      <c r="AV152" s="131">
        <f t="shared" si="128"/>
        <v>16100</v>
      </c>
      <c r="AW152" s="131">
        <f t="shared" si="94"/>
        <v>295.17</v>
      </c>
      <c r="AX152" s="131">
        <f t="shared" si="95"/>
        <v>0</v>
      </c>
      <c r="AY152" s="131">
        <f t="shared" si="96"/>
        <v>600</v>
      </c>
      <c r="AZ152" s="131">
        <f t="shared" si="97"/>
        <v>15500</v>
      </c>
      <c r="BA152" s="131">
        <f t="shared" si="129"/>
        <v>12850</v>
      </c>
      <c r="BB152" s="131">
        <f t="shared" si="98"/>
        <v>203.46</v>
      </c>
      <c r="BC152" s="131">
        <f t="shared" si="99"/>
        <v>0</v>
      </c>
      <c r="BD152" s="131">
        <f t="shared" si="100"/>
        <v>0</v>
      </c>
      <c r="BE152" s="131">
        <f t="shared" si="101"/>
        <v>12850</v>
      </c>
      <c r="BF152" s="131">
        <f t="shared" si="130"/>
        <v>0</v>
      </c>
      <c r="BG152" s="131">
        <f t="shared" si="102"/>
        <v>0</v>
      </c>
      <c r="BH152" s="131">
        <f t="shared" si="103"/>
        <v>0</v>
      </c>
      <c r="BI152" s="131">
        <f t="shared" si="104"/>
        <v>0</v>
      </c>
      <c r="BJ152" s="131">
        <f t="shared" si="105"/>
        <v>0</v>
      </c>
      <c r="BK152" s="131">
        <f t="shared" si="131"/>
        <v>115000</v>
      </c>
      <c r="BL152" s="131">
        <f t="shared" si="106"/>
        <v>575</v>
      </c>
      <c r="BM152" s="131">
        <f t="shared" si="107"/>
        <v>0</v>
      </c>
      <c r="BN152" s="131">
        <f t="shared" si="108"/>
        <v>0</v>
      </c>
      <c r="BO152" s="131">
        <f t="shared" si="109"/>
        <v>115000</v>
      </c>
      <c r="BP152" s="131">
        <f t="shared" si="132"/>
        <v>12000</v>
      </c>
      <c r="BQ152" s="131">
        <f t="shared" si="110"/>
        <v>50</v>
      </c>
      <c r="BR152" s="131">
        <f t="shared" si="111"/>
        <v>0</v>
      </c>
      <c r="BS152" s="131">
        <f t="shared" si="112"/>
        <v>0</v>
      </c>
      <c r="BT152" s="131">
        <f t="shared" si="113"/>
        <v>12000</v>
      </c>
      <c r="BU152" s="131">
        <f t="shared" si="133"/>
        <v>0</v>
      </c>
      <c r="BV152" s="131">
        <f t="shared" si="114"/>
        <v>0</v>
      </c>
      <c r="BW152" s="131">
        <f t="shared" si="115"/>
        <v>0</v>
      </c>
      <c r="BX152" s="131">
        <f t="shared" si="116"/>
        <v>0</v>
      </c>
      <c r="BY152" s="131">
        <f t="shared" si="117"/>
        <v>0</v>
      </c>
      <c r="BZ152" s="147">
        <f t="shared" si="134"/>
        <v>600</v>
      </c>
      <c r="CA152" s="147">
        <f t="shared" si="135"/>
        <v>151227.38000000009</v>
      </c>
    </row>
    <row r="153" spans="11:79">
      <c r="K153" s="152">
        <f t="shared" si="118"/>
        <v>101</v>
      </c>
      <c r="L153" s="151">
        <f t="shared" si="68"/>
        <v>48730</v>
      </c>
      <c r="M153" s="150">
        <f t="shared" si="119"/>
        <v>35000</v>
      </c>
      <c r="N153" s="150">
        <f t="shared" si="69"/>
        <v>641.66999999999996</v>
      </c>
      <c r="O153" s="150">
        <f t="shared" si="70"/>
        <v>0</v>
      </c>
      <c r="P153" s="150">
        <f t="shared" si="71"/>
        <v>0</v>
      </c>
      <c r="Q153" s="150">
        <f t="shared" si="72"/>
        <v>35000</v>
      </c>
      <c r="R153" s="150">
        <f t="shared" si="120"/>
        <v>2857.61</v>
      </c>
      <c r="S153" s="150">
        <f t="shared" si="73"/>
        <v>45.25</v>
      </c>
      <c r="T153" s="150">
        <f t="shared" si="74"/>
        <v>54.75</v>
      </c>
      <c r="U153" s="150">
        <f t="shared" si="75"/>
        <v>650</v>
      </c>
      <c r="V153" s="150">
        <f t="shared" si="76"/>
        <v>2152.86</v>
      </c>
      <c r="W153" s="150">
        <f t="shared" si="121"/>
        <v>0</v>
      </c>
      <c r="X153" s="150">
        <f t="shared" si="77"/>
        <v>0</v>
      </c>
      <c r="Y153" s="150">
        <f t="shared" si="78"/>
        <v>0</v>
      </c>
      <c r="Z153" s="150">
        <f t="shared" si="79"/>
        <v>0</v>
      </c>
      <c r="AA153" s="150">
        <f t="shared" si="80"/>
        <v>0</v>
      </c>
      <c r="AB153" s="150">
        <f t="shared" si="122"/>
        <v>115000</v>
      </c>
      <c r="AC153" s="150">
        <f t="shared" si="81"/>
        <v>575</v>
      </c>
      <c r="AD153" s="150">
        <f t="shared" si="82"/>
        <v>0</v>
      </c>
      <c r="AE153" s="150">
        <f t="shared" si="83"/>
        <v>0</v>
      </c>
      <c r="AF153" s="150">
        <f t="shared" si="84"/>
        <v>115000</v>
      </c>
      <c r="AG153" s="150">
        <f t="shared" si="123"/>
        <v>0</v>
      </c>
      <c r="AH153" s="150">
        <f t="shared" si="85"/>
        <v>0</v>
      </c>
      <c r="AI153" s="150">
        <f t="shared" si="86"/>
        <v>0</v>
      </c>
      <c r="AJ153" s="150">
        <f t="shared" si="87"/>
        <v>0</v>
      </c>
      <c r="AK153" s="150">
        <f t="shared" si="88"/>
        <v>0</v>
      </c>
      <c r="AL153" s="150">
        <f t="shared" si="124"/>
        <v>0</v>
      </c>
      <c r="AM153" s="150">
        <f t="shared" si="89"/>
        <v>0</v>
      </c>
      <c r="AN153" s="150">
        <f t="shared" si="90"/>
        <v>0</v>
      </c>
      <c r="AO153" s="150">
        <f t="shared" si="91"/>
        <v>0</v>
      </c>
      <c r="AP153" s="150">
        <f t="shared" si="92"/>
        <v>0</v>
      </c>
      <c r="AQ153" s="149">
        <f t="shared" si="125"/>
        <v>650</v>
      </c>
      <c r="AR153" s="149">
        <f t="shared" si="126"/>
        <v>160193.23999999996</v>
      </c>
      <c r="AS153" s="133"/>
      <c r="AT153" s="152">
        <f t="shared" si="127"/>
        <v>101</v>
      </c>
      <c r="AU153" s="151">
        <f t="shared" si="93"/>
        <v>48730</v>
      </c>
      <c r="AV153" s="150">
        <f t="shared" si="128"/>
        <v>15500</v>
      </c>
      <c r="AW153" s="150">
        <f t="shared" si="94"/>
        <v>284.17</v>
      </c>
      <c r="AX153" s="150">
        <f t="shared" si="95"/>
        <v>0</v>
      </c>
      <c r="AY153" s="150">
        <f t="shared" si="96"/>
        <v>600</v>
      </c>
      <c r="AZ153" s="150">
        <f t="shared" si="97"/>
        <v>14900</v>
      </c>
      <c r="BA153" s="150">
        <f t="shared" si="129"/>
        <v>12850</v>
      </c>
      <c r="BB153" s="150">
        <f t="shared" si="98"/>
        <v>203.46</v>
      </c>
      <c r="BC153" s="150">
        <f t="shared" si="99"/>
        <v>0</v>
      </c>
      <c r="BD153" s="150">
        <f t="shared" si="100"/>
        <v>0</v>
      </c>
      <c r="BE153" s="150">
        <f t="shared" si="101"/>
        <v>12850</v>
      </c>
      <c r="BF153" s="150">
        <f t="shared" si="130"/>
        <v>0</v>
      </c>
      <c r="BG153" s="150">
        <f t="shared" si="102"/>
        <v>0</v>
      </c>
      <c r="BH153" s="150">
        <f t="shared" si="103"/>
        <v>0</v>
      </c>
      <c r="BI153" s="150">
        <f t="shared" si="104"/>
        <v>0</v>
      </c>
      <c r="BJ153" s="150">
        <f t="shared" si="105"/>
        <v>0</v>
      </c>
      <c r="BK153" s="150">
        <f t="shared" si="131"/>
        <v>115000</v>
      </c>
      <c r="BL153" s="150">
        <f t="shared" si="106"/>
        <v>575</v>
      </c>
      <c r="BM153" s="150">
        <f t="shared" si="107"/>
        <v>0</v>
      </c>
      <c r="BN153" s="150">
        <f t="shared" si="108"/>
        <v>0</v>
      </c>
      <c r="BO153" s="150">
        <f t="shared" si="109"/>
        <v>115000</v>
      </c>
      <c r="BP153" s="150">
        <f t="shared" si="132"/>
        <v>12000</v>
      </c>
      <c r="BQ153" s="150">
        <f t="shared" si="110"/>
        <v>50</v>
      </c>
      <c r="BR153" s="150">
        <f t="shared" si="111"/>
        <v>0</v>
      </c>
      <c r="BS153" s="150">
        <f t="shared" si="112"/>
        <v>0</v>
      </c>
      <c r="BT153" s="150">
        <f t="shared" si="113"/>
        <v>12000</v>
      </c>
      <c r="BU153" s="150">
        <f t="shared" si="133"/>
        <v>0</v>
      </c>
      <c r="BV153" s="150">
        <f t="shared" si="114"/>
        <v>0</v>
      </c>
      <c r="BW153" s="150">
        <f t="shared" si="115"/>
        <v>0</v>
      </c>
      <c r="BX153" s="150">
        <f t="shared" si="116"/>
        <v>0</v>
      </c>
      <c r="BY153" s="150">
        <f t="shared" si="117"/>
        <v>0</v>
      </c>
      <c r="BZ153" s="147">
        <f t="shared" si="134"/>
        <v>600</v>
      </c>
      <c r="CA153" s="147">
        <f t="shared" si="135"/>
        <v>152340.0100000001</v>
      </c>
    </row>
    <row r="154" spans="11:79">
      <c r="K154" s="132">
        <f t="shared" si="118"/>
        <v>102</v>
      </c>
      <c r="L154" s="148">
        <f t="shared" si="68"/>
        <v>48760</v>
      </c>
      <c r="M154" s="131">
        <f t="shared" si="119"/>
        <v>35000</v>
      </c>
      <c r="N154" s="131">
        <f t="shared" si="69"/>
        <v>641.66999999999996</v>
      </c>
      <c r="O154" s="131">
        <f t="shared" si="70"/>
        <v>0</v>
      </c>
      <c r="P154" s="131">
        <f t="shared" si="71"/>
        <v>0</v>
      </c>
      <c r="Q154" s="131">
        <f t="shared" si="72"/>
        <v>35000</v>
      </c>
      <c r="R154" s="131">
        <f t="shared" si="120"/>
        <v>2152.86</v>
      </c>
      <c r="S154" s="131">
        <f t="shared" si="73"/>
        <v>34.090000000000003</v>
      </c>
      <c r="T154" s="131">
        <f t="shared" si="74"/>
        <v>65.91</v>
      </c>
      <c r="U154" s="131">
        <f t="shared" si="75"/>
        <v>650</v>
      </c>
      <c r="V154" s="131">
        <f t="shared" si="76"/>
        <v>1436.95</v>
      </c>
      <c r="W154" s="131">
        <f t="shared" si="121"/>
        <v>0</v>
      </c>
      <c r="X154" s="131">
        <f t="shared" si="77"/>
        <v>0</v>
      </c>
      <c r="Y154" s="131">
        <f t="shared" si="78"/>
        <v>0</v>
      </c>
      <c r="Z154" s="131">
        <f t="shared" si="79"/>
        <v>0</v>
      </c>
      <c r="AA154" s="131">
        <f t="shared" si="80"/>
        <v>0</v>
      </c>
      <c r="AB154" s="131">
        <f t="shared" si="122"/>
        <v>115000</v>
      </c>
      <c r="AC154" s="131">
        <f t="shared" si="81"/>
        <v>575</v>
      </c>
      <c r="AD154" s="131">
        <f t="shared" si="82"/>
        <v>0</v>
      </c>
      <c r="AE154" s="131">
        <f t="shared" si="83"/>
        <v>0</v>
      </c>
      <c r="AF154" s="131">
        <f t="shared" si="84"/>
        <v>115000</v>
      </c>
      <c r="AG154" s="131">
        <f t="shared" si="123"/>
        <v>0</v>
      </c>
      <c r="AH154" s="131">
        <f t="shared" si="85"/>
        <v>0</v>
      </c>
      <c r="AI154" s="131">
        <f t="shared" si="86"/>
        <v>0</v>
      </c>
      <c r="AJ154" s="131">
        <f t="shared" si="87"/>
        <v>0</v>
      </c>
      <c r="AK154" s="131">
        <f t="shared" si="88"/>
        <v>0</v>
      </c>
      <c r="AL154" s="131">
        <f t="shared" si="124"/>
        <v>0</v>
      </c>
      <c r="AM154" s="131">
        <f t="shared" si="89"/>
        <v>0</v>
      </c>
      <c r="AN154" s="131">
        <f t="shared" si="90"/>
        <v>0</v>
      </c>
      <c r="AO154" s="131">
        <f t="shared" si="91"/>
        <v>0</v>
      </c>
      <c r="AP154" s="131">
        <f t="shared" si="92"/>
        <v>0</v>
      </c>
      <c r="AQ154" s="149">
        <f t="shared" si="125"/>
        <v>650</v>
      </c>
      <c r="AR154" s="149">
        <f t="shared" si="126"/>
        <v>161443.99999999997</v>
      </c>
      <c r="AS154" s="133"/>
      <c r="AT154" s="132">
        <f t="shared" si="127"/>
        <v>102</v>
      </c>
      <c r="AU154" s="148">
        <f t="shared" si="93"/>
        <v>48760</v>
      </c>
      <c r="AV154" s="131">
        <f t="shared" si="128"/>
        <v>14900</v>
      </c>
      <c r="AW154" s="131">
        <f t="shared" si="94"/>
        <v>273.17</v>
      </c>
      <c r="AX154" s="131">
        <f t="shared" si="95"/>
        <v>0</v>
      </c>
      <c r="AY154" s="131">
        <f t="shared" si="96"/>
        <v>600</v>
      </c>
      <c r="AZ154" s="131">
        <f t="shared" si="97"/>
        <v>14300</v>
      </c>
      <c r="BA154" s="131">
        <f t="shared" si="129"/>
        <v>12850</v>
      </c>
      <c r="BB154" s="131">
        <f t="shared" si="98"/>
        <v>203.46</v>
      </c>
      <c r="BC154" s="131">
        <f t="shared" si="99"/>
        <v>0</v>
      </c>
      <c r="BD154" s="131">
        <f t="shared" si="100"/>
        <v>0</v>
      </c>
      <c r="BE154" s="131">
        <f t="shared" si="101"/>
        <v>12850</v>
      </c>
      <c r="BF154" s="131">
        <f t="shared" si="130"/>
        <v>0</v>
      </c>
      <c r="BG154" s="131">
        <f t="shared" si="102"/>
        <v>0</v>
      </c>
      <c r="BH154" s="131">
        <f t="shared" si="103"/>
        <v>0</v>
      </c>
      <c r="BI154" s="131">
        <f t="shared" si="104"/>
        <v>0</v>
      </c>
      <c r="BJ154" s="131">
        <f t="shared" si="105"/>
        <v>0</v>
      </c>
      <c r="BK154" s="131">
        <f t="shared" si="131"/>
        <v>115000</v>
      </c>
      <c r="BL154" s="131">
        <f t="shared" si="106"/>
        <v>575</v>
      </c>
      <c r="BM154" s="131">
        <f t="shared" si="107"/>
        <v>0</v>
      </c>
      <c r="BN154" s="131">
        <f t="shared" si="108"/>
        <v>0</v>
      </c>
      <c r="BO154" s="131">
        <f t="shared" si="109"/>
        <v>115000</v>
      </c>
      <c r="BP154" s="131">
        <f t="shared" si="132"/>
        <v>12000</v>
      </c>
      <c r="BQ154" s="131">
        <f t="shared" si="110"/>
        <v>50</v>
      </c>
      <c r="BR154" s="131">
        <f t="shared" si="111"/>
        <v>0</v>
      </c>
      <c r="BS154" s="131">
        <f t="shared" si="112"/>
        <v>0</v>
      </c>
      <c r="BT154" s="131">
        <f t="shared" si="113"/>
        <v>12000</v>
      </c>
      <c r="BU154" s="131">
        <f t="shared" si="133"/>
        <v>0</v>
      </c>
      <c r="BV154" s="131">
        <f t="shared" si="114"/>
        <v>0</v>
      </c>
      <c r="BW154" s="131">
        <f t="shared" si="115"/>
        <v>0</v>
      </c>
      <c r="BX154" s="131">
        <f t="shared" si="116"/>
        <v>0</v>
      </c>
      <c r="BY154" s="131">
        <f t="shared" si="117"/>
        <v>0</v>
      </c>
      <c r="BZ154" s="147">
        <f t="shared" si="134"/>
        <v>600</v>
      </c>
      <c r="CA154" s="147">
        <f t="shared" si="135"/>
        <v>153441.6400000001</v>
      </c>
    </row>
    <row r="155" spans="11:79">
      <c r="K155" s="152">
        <f t="shared" si="118"/>
        <v>103</v>
      </c>
      <c r="L155" s="151">
        <f t="shared" si="68"/>
        <v>48791</v>
      </c>
      <c r="M155" s="150">
        <f t="shared" si="119"/>
        <v>35000</v>
      </c>
      <c r="N155" s="150">
        <f t="shared" si="69"/>
        <v>641.66999999999996</v>
      </c>
      <c r="O155" s="150">
        <f t="shared" si="70"/>
        <v>0</v>
      </c>
      <c r="P155" s="150">
        <f t="shared" si="71"/>
        <v>0</v>
      </c>
      <c r="Q155" s="150">
        <f t="shared" si="72"/>
        <v>35000</v>
      </c>
      <c r="R155" s="150">
        <f t="shared" si="120"/>
        <v>1436.95</v>
      </c>
      <c r="S155" s="150">
        <f t="shared" si="73"/>
        <v>22.75</v>
      </c>
      <c r="T155" s="150">
        <f t="shared" si="74"/>
        <v>77.25</v>
      </c>
      <c r="U155" s="150">
        <f t="shared" si="75"/>
        <v>650</v>
      </c>
      <c r="V155" s="150">
        <f t="shared" si="76"/>
        <v>709.7</v>
      </c>
      <c r="W155" s="150">
        <f t="shared" si="121"/>
        <v>0</v>
      </c>
      <c r="X155" s="150">
        <f t="shared" si="77"/>
        <v>0</v>
      </c>
      <c r="Y155" s="150">
        <f t="shared" si="78"/>
        <v>0</v>
      </c>
      <c r="Z155" s="150">
        <f t="shared" si="79"/>
        <v>0</v>
      </c>
      <c r="AA155" s="150">
        <f t="shared" si="80"/>
        <v>0</v>
      </c>
      <c r="AB155" s="150">
        <f t="shared" si="122"/>
        <v>115000</v>
      </c>
      <c r="AC155" s="150">
        <f t="shared" si="81"/>
        <v>575</v>
      </c>
      <c r="AD155" s="150">
        <f t="shared" si="82"/>
        <v>0</v>
      </c>
      <c r="AE155" s="150">
        <f t="shared" si="83"/>
        <v>0</v>
      </c>
      <c r="AF155" s="150">
        <f t="shared" si="84"/>
        <v>115000</v>
      </c>
      <c r="AG155" s="150">
        <f t="shared" si="123"/>
        <v>0</v>
      </c>
      <c r="AH155" s="150">
        <f t="shared" si="85"/>
        <v>0</v>
      </c>
      <c r="AI155" s="150">
        <f t="shared" si="86"/>
        <v>0</v>
      </c>
      <c r="AJ155" s="150">
        <f t="shared" si="87"/>
        <v>0</v>
      </c>
      <c r="AK155" s="150">
        <f t="shared" si="88"/>
        <v>0</v>
      </c>
      <c r="AL155" s="150">
        <f t="shared" si="124"/>
        <v>0</v>
      </c>
      <c r="AM155" s="150">
        <f t="shared" si="89"/>
        <v>0</v>
      </c>
      <c r="AN155" s="150">
        <f t="shared" si="90"/>
        <v>0</v>
      </c>
      <c r="AO155" s="150">
        <f t="shared" si="91"/>
        <v>0</v>
      </c>
      <c r="AP155" s="150">
        <f t="shared" si="92"/>
        <v>0</v>
      </c>
      <c r="AQ155" s="149">
        <f t="shared" si="125"/>
        <v>650</v>
      </c>
      <c r="AR155" s="149">
        <f t="shared" si="126"/>
        <v>162683.41999999998</v>
      </c>
      <c r="AS155" s="133"/>
      <c r="AT155" s="152">
        <f t="shared" si="127"/>
        <v>103</v>
      </c>
      <c r="AU155" s="151">
        <f t="shared" si="93"/>
        <v>48791</v>
      </c>
      <c r="AV155" s="150">
        <f t="shared" si="128"/>
        <v>14300</v>
      </c>
      <c r="AW155" s="150">
        <f t="shared" si="94"/>
        <v>262.17</v>
      </c>
      <c r="AX155" s="150">
        <f t="shared" si="95"/>
        <v>0</v>
      </c>
      <c r="AY155" s="150">
        <f t="shared" si="96"/>
        <v>600</v>
      </c>
      <c r="AZ155" s="150">
        <f t="shared" si="97"/>
        <v>13700</v>
      </c>
      <c r="BA155" s="150">
        <f t="shared" si="129"/>
        <v>12850</v>
      </c>
      <c r="BB155" s="150">
        <f t="shared" si="98"/>
        <v>203.46</v>
      </c>
      <c r="BC155" s="150">
        <f t="shared" si="99"/>
        <v>0</v>
      </c>
      <c r="BD155" s="150">
        <f t="shared" si="100"/>
        <v>0</v>
      </c>
      <c r="BE155" s="150">
        <f t="shared" si="101"/>
        <v>12850</v>
      </c>
      <c r="BF155" s="150">
        <f t="shared" si="130"/>
        <v>0</v>
      </c>
      <c r="BG155" s="150">
        <f t="shared" si="102"/>
        <v>0</v>
      </c>
      <c r="BH155" s="150">
        <f t="shared" si="103"/>
        <v>0</v>
      </c>
      <c r="BI155" s="150">
        <f t="shared" si="104"/>
        <v>0</v>
      </c>
      <c r="BJ155" s="150">
        <f t="shared" si="105"/>
        <v>0</v>
      </c>
      <c r="BK155" s="150">
        <f t="shared" si="131"/>
        <v>115000</v>
      </c>
      <c r="BL155" s="150">
        <f t="shared" si="106"/>
        <v>575</v>
      </c>
      <c r="BM155" s="150">
        <f t="shared" si="107"/>
        <v>0</v>
      </c>
      <c r="BN155" s="150">
        <f t="shared" si="108"/>
        <v>0</v>
      </c>
      <c r="BO155" s="150">
        <f t="shared" si="109"/>
        <v>115000</v>
      </c>
      <c r="BP155" s="150">
        <f t="shared" si="132"/>
        <v>12000</v>
      </c>
      <c r="BQ155" s="150">
        <f t="shared" si="110"/>
        <v>50</v>
      </c>
      <c r="BR155" s="150">
        <f t="shared" si="111"/>
        <v>0</v>
      </c>
      <c r="BS155" s="150">
        <f t="shared" si="112"/>
        <v>0</v>
      </c>
      <c r="BT155" s="150">
        <f t="shared" si="113"/>
        <v>12000</v>
      </c>
      <c r="BU155" s="150">
        <f t="shared" si="133"/>
        <v>0</v>
      </c>
      <c r="BV155" s="150">
        <f t="shared" si="114"/>
        <v>0</v>
      </c>
      <c r="BW155" s="150">
        <f t="shared" si="115"/>
        <v>0</v>
      </c>
      <c r="BX155" s="150">
        <f t="shared" si="116"/>
        <v>0</v>
      </c>
      <c r="BY155" s="150">
        <f t="shared" si="117"/>
        <v>0</v>
      </c>
      <c r="BZ155" s="147">
        <f t="shared" si="134"/>
        <v>600</v>
      </c>
      <c r="CA155" s="147">
        <f t="shared" si="135"/>
        <v>154532.27000000011</v>
      </c>
    </row>
    <row r="156" spans="11:79">
      <c r="K156" s="132">
        <f t="shared" si="118"/>
        <v>104</v>
      </c>
      <c r="L156" s="148">
        <f t="shared" si="68"/>
        <v>48822</v>
      </c>
      <c r="M156" s="131">
        <f t="shared" si="119"/>
        <v>35000</v>
      </c>
      <c r="N156" s="131">
        <f t="shared" si="69"/>
        <v>641.66999999999996</v>
      </c>
      <c r="O156" s="131">
        <f t="shared" si="70"/>
        <v>0</v>
      </c>
      <c r="P156" s="131">
        <f t="shared" si="71"/>
        <v>0</v>
      </c>
      <c r="Q156" s="131">
        <f t="shared" si="72"/>
        <v>35000</v>
      </c>
      <c r="R156" s="131">
        <f t="shared" si="120"/>
        <v>709.7</v>
      </c>
      <c r="S156" s="131">
        <f t="shared" si="73"/>
        <v>11.24</v>
      </c>
      <c r="T156" s="131">
        <f t="shared" si="74"/>
        <v>88.76</v>
      </c>
      <c r="U156" s="131">
        <f t="shared" si="75"/>
        <v>620.94000000000005</v>
      </c>
      <c r="V156" s="131">
        <f t="shared" si="76"/>
        <v>0</v>
      </c>
      <c r="W156" s="131">
        <f t="shared" si="121"/>
        <v>0</v>
      </c>
      <c r="X156" s="131">
        <f t="shared" si="77"/>
        <v>0</v>
      </c>
      <c r="Y156" s="131">
        <f t="shared" si="78"/>
        <v>0</v>
      </c>
      <c r="Z156" s="131">
        <f t="shared" si="79"/>
        <v>0</v>
      </c>
      <c r="AA156" s="131">
        <f t="shared" si="80"/>
        <v>0</v>
      </c>
      <c r="AB156" s="131">
        <f t="shared" si="122"/>
        <v>115000</v>
      </c>
      <c r="AC156" s="131">
        <f t="shared" si="81"/>
        <v>575</v>
      </c>
      <c r="AD156" s="131">
        <f t="shared" si="82"/>
        <v>0</v>
      </c>
      <c r="AE156" s="131">
        <f t="shared" si="83"/>
        <v>0</v>
      </c>
      <c r="AF156" s="131">
        <f t="shared" si="84"/>
        <v>115000</v>
      </c>
      <c r="AG156" s="131">
        <f t="shared" si="123"/>
        <v>0</v>
      </c>
      <c r="AH156" s="131">
        <f t="shared" si="85"/>
        <v>0</v>
      </c>
      <c r="AI156" s="131">
        <f t="shared" si="86"/>
        <v>0</v>
      </c>
      <c r="AJ156" s="131">
        <f t="shared" si="87"/>
        <v>0</v>
      </c>
      <c r="AK156" s="131">
        <f t="shared" si="88"/>
        <v>0</v>
      </c>
      <c r="AL156" s="131">
        <f t="shared" si="124"/>
        <v>0</v>
      </c>
      <c r="AM156" s="131">
        <f t="shared" si="89"/>
        <v>0</v>
      </c>
      <c r="AN156" s="131">
        <f t="shared" si="90"/>
        <v>0</v>
      </c>
      <c r="AO156" s="131">
        <f t="shared" si="91"/>
        <v>0</v>
      </c>
      <c r="AP156" s="131">
        <f t="shared" si="92"/>
        <v>0</v>
      </c>
      <c r="AQ156" s="149">
        <f t="shared" si="125"/>
        <v>650</v>
      </c>
      <c r="AR156" s="149">
        <f t="shared" si="126"/>
        <v>163911.32999999999</v>
      </c>
      <c r="AS156" s="133"/>
      <c r="AT156" s="132">
        <f t="shared" si="127"/>
        <v>104</v>
      </c>
      <c r="AU156" s="148">
        <f t="shared" si="93"/>
        <v>48822</v>
      </c>
      <c r="AV156" s="131">
        <f t="shared" si="128"/>
        <v>13700</v>
      </c>
      <c r="AW156" s="131">
        <f t="shared" si="94"/>
        <v>251.17</v>
      </c>
      <c r="AX156" s="131">
        <f t="shared" si="95"/>
        <v>0</v>
      </c>
      <c r="AY156" s="131">
        <f t="shared" si="96"/>
        <v>600</v>
      </c>
      <c r="AZ156" s="131">
        <f t="shared" si="97"/>
        <v>13100</v>
      </c>
      <c r="BA156" s="131">
        <f t="shared" si="129"/>
        <v>12850</v>
      </c>
      <c r="BB156" s="131">
        <f t="shared" si="98"/>
        <v>203.46</v>
      </c>
      <c r="BC156" s="131">
        <f t="shared" si="99"/>
        <v>0</v>
      </c>
      <c r="BD156" s="131">
        <f t="shared" si="100"/>
        <v>0</v>
      </c>
      <c r="BE156" s="131">
        <f t="shared" si="101"/>
        <v>12850</v>
      </c>
      <c r="BF156" s="131">
        <f t="shared" si="130"/>
        <v>0</v>
      </c>
      <c r="BG156" s="131">
        <f t="shared" si="102"/>
        <v>0</v>
      </c>
      <c r="BH156" s="131">
        <f t="shared" si="103"/>
        <v>0</v>
      </c>
      <c r="BI156" s="131">
        <f t="shared" si="104"/>
        <v>0</v>
      </c>
      <c r="BJ156" s="131">
        <f t="shared" si="105"/>
        <v>0</v>
      </c>
      <c r="BK156" s="131">
        <f t="shared" si="131"/>
        <v>115000</v>
      </c>
      <c r="BL156" s="131">
        <f t="shared" si="106"/>
        <v>575</v>
      </c>
      <c r="BM156" s="131">
        <f t="shared" si="107"/>
        <v>0</v>
      </c>
      <c r="BN156" s="131">
        <f t="shared" si="108"/>
        <v>0</v>
      </c>
      <c r="BO156" s="131">
        <f t="shared" si="109"/>
        <v>115000</v>
      </c>
      <c r="BP156" s="131">
        <f t="shared" si="132"/>
        <v>12000</v>
      </c>
      <c r="BQ156" s="131">
        <f t="shared" si="110"/>
        <v>50</v>
      </c>
      <c r="BR156" s="131">
        <f t="shared" si="111"/>
        <v>0</v>
      </c>
      <c r="BS156" s="131">
        <f t="shared" si="112"/>
        <v>0</v>
      </c>
      <c r="BT156" s="131">
        <f t="shared" si="113"/>
        <v>12000</v>
      </c>
      <c r="BU156" s="131">
        <f t="shared" si="133"/>
        <v>0</v>
      </c>
      <c r="BV156" s="131">
        <f t="shared" si="114"/>
        <v>0</v>
      </c>
      <c r="BW156" s="131">
        <f t="shared" si="115"/>
        <v>0</v>
      </c>
      <c r="BX156" s="131">
        <f t="shared" si="116"/>
        <v>0</v>
      </c>
      <c r="BY156" s="131">
        <f t="shared" si="117"/>
        <v>0</v>
      </c>
      <c r="BZ156" s="147">
        <f t="shared" si="134"/>
        <v>600</v>
      </c>
      <c r="CA156" s="147">
        <f t="shared" si="135"/>
        <v>155611.90000000011</v>
      </c>
    </row>
    <row r="157" spans="11:79">
      <c r="K157" s="152">
        <f t="shared" si="118"/>
        <v>105</v>
      </c>
      <c r="L157" s="151">
        <f t="shared" si="68"/>
        <v>48852</v>
      </c>
      <c r="M157" s="150">
        <f t="shared" si="119"/>
        <v>35000</v>
      </c>
      <c r="N157" s="150">
        <f t="shared" si="69"/>
        <v>641.66999999999996</v>
      </c>
      <c r="O157" s="150">
        <f t="shared" si="70"/>
        <v>0</v>
      </c>
      <c r="P157" s="150">
        <f t="shared" si="71"/>
        <v>750</v>
      </c>
      <c r="Q157" s="150">
        <f t="shared" si="72"/>
        <v>34250</v>
      </c>
      <c r="R157" s="150">
        <f t="shared" si="120"/>
        <v>0</v>
      </c>
      <c r="S157" s="150">
        <f t="shared" si="73"/>
        <v>0</v>
      </c>
      <c r="T157" s="150">
        <f t="shared" si="74"/>
        <v>0</v>
      </c>
      <c r="U157" s="150">
        <f t="shared" si="75"/>
        <v>0</v>
      </c>
      <c r="V157" s="150">
        <f t="shared" si="76"/>
        <v>0</v>
      </c>
      <c r="W157" s="150">
        <f t="shared" si="121"/>
        <v>0</v>
      </c>
      <c r="X157" s="150">
        <f t="shared" si="77"/>
        <v>0</v>
      </c>
      <c r="Y157" s="150">
        <f t="shared" si="78"/>
        <v>0</v>
      </c>
      <c r="Z157" s="150">
        <f t="shared" si="79"/>
        <v>0</v>
      </c>
      <c r="AA157" s="150">
        <f t="shared" si="80"/>
        <v>0</v>
      </c>
      <c r="AB157" s="150">
        <f t="shared" si="122"/>
        <v>115000</v>
      </c>
      <c r="AC157" s="150">
        <f t="shared" si="81"/>
        <v>575</v>
      </c>
      <c r="AD157" s="150">
        <f t="shared" si="82"/>
        <v>0</v>
      </c>
      <c r="AE157" s="150">
        <f t="shared" si="83"/>
        <v>0</v>
      </c>
      <c r="AF157" s="150">
        <f t="shared" si="84"/>
        <v>115000</v>
      </c>
      <c r="AG157" s="150">
        <f t="shared" si="123"/>
        <v>0</v>
      </c>
      <c r="AH157" s="150">
        <f t="shared" si="85"/>
        <v>0</v>
      </c>
      <c r="AI157" s="150">
        <f t="shared" si="86"/>
        <v>0</v>
      </c>
      <c r="AJ157" s="150">
        <f t="shared" si="87"/>
        <v>0</v>
      </c>
      <c r="AK157" s="150">
        <f t="shared" si="88"/>
        <v>0</v>
      </c>
      <c r="AL157" s="150">
        <f t="shared" si="124"/>
        <v>0</v>
      </c>
      <c r="AM157" s="150">
        <f t="shared" si="89"/>
        <v>0</v>
      </c>
      <c r="AN157" s="150">
        <f t="shared" si="90"/>
        <v>0</v>
      </c>
      <c r="AO157" s="150">
        <f t="shared" si="91"/>
        <v>0</v>
      </c>
      <c r="AP157" s="150">
        <f t="shared" si="92"/>
        <v>0</v>
      </c>
      <c r="AQ157" s="149">
        <f t="shared" si="125"/>
        <v>750</v>
      </c>
      <c r="AR157" s="149">
        <f t="shared" si="126"/>
        <v>165128</v>
      </c>
      <c r="AS157" s="133"/>
      <c r="AT157" s="152">
        <f t="shared" si="127"/>
        <v>105</v>
      </c>
      <c r="AU157" s="151">
        <f t="shared" si="93"/>
        <v>48852</v>
      </c>
      <c r="AV157" s="150">
        <f t="shared" si="128"/>
        <v>13100</v>
      </c>
      <c r="AW157" s="150">
        <f t="shared" si="94"/>
        <v>240.17</v>
      </c>
      <c r="AX157" s="150">
        <f t="shared" si="95"/>
        <v>0</v>
      </c>
      <c r="AY157" s="150">
        <f t="shared" si="96"/>
        <v>600</v>
      </c>
      <c r="AZ157" s="150">
        <f t="shared" si="97"/>
        <v>12500</v>
      </c>
      <c r="BA157" s="150">
        <f t="shared" si="129"/>
        <v>12850</v>
      </c>
      <c r="BB157" s="150">
        <f t="shared" si="98"/>
        <v>203.46</v>
      </c>
      <c r="BC157" s="150">
        <f t="shared" si="99"/>
        <v>0</v>
      </c>
      <c r="BD157" s="150">
        <f t="shared" si="100"/>
        <v>0</v>
      </c>
      <c r="BE157" s="150">
        <f t="shared" si="101"/>
        <v>12850</v>
      </c>
      <c r="BF157" s="150">
        <f t="shared" si="130"/>
        <v>0</v>
      </c>
      <c r="BG157" s="150">
        <f t="shared" si="102"/>
        <v>0</v>
      </c>
      <c r="BH157" s="150">
        <f t="shared" si="103"/>
        <v>0</v>
      </c>
      <c r="BI157" s="150">
        <f t="shared" si="104"/>
        <v>0</v>
      </c>
      <c r="BJ157" s="150">
        <f t="shared" si="105"/>
        <v>0</v>
      </c>
      <c r="BK157" s="150">
        <f t="shared" si="131"/>
        <v>115000</v>
      </c>
      <c r="BL157" s="150">
        <f t="shared" si="106"/>
        <v>575</v>
      </c>
      <c r="BM157" s="150">
        <f t="shared" si="107"/>
        <v>0</v>
      </c>
      <c r="BN157" s="150">
        <f t="shared" si="108"/>
        <v>0</v>
      </c>
      <c r="BO157" s="150">
        <f t="shared" si="109"/>
        <v>115000</v>
      </c>
      <c r="BP157" s="150">
        <f t="shared" si="132"/>
        <v>12000</v>
      </c>
      <c r="BQ157" s="150">
        <f t="shared" si="110"/>
        <v>50</v>
      </c>
      <c r="BR157" s="150">
        <f t="shared" si="111"/>
        <v>0</v>
      </c>
      <c r="BS157" s="150">
        <f t="shared" si="112"/>
        <v>0</v>
      </c>
      <c r="BT157" s="150">
        <f t="shared" si="113"/>
        <v>12000</v>
      </c>
      <c r="BU157" s="150">
        <f t="shared" si="133"/>
        <v>0</v>
      </c>
      <c r="BV157" s="150">
        <f t="shared" si="114"/>
        <v>0</v>
      </c>
      <c r="BW157" s="150">
        <f t="shared" si="115"/>
        <v>0</v>
      </c>
      <c r="BX157" s="150">
        <f t="shared" si="116"/>
        <v>0</v>
      </c>
      <c r="BY157" s="150">
        <f t="shared" si="117"/>
        <v>0</v>
      </c>
      <c r="BZ157" s="147">
        <f t="shared" si="134"/>
        <v>600</v>
      </c>
      <c r="CA157" s="147">
        <f t="shared" si="135"/>
        <v>156680.53000000012</v>
      </c>
    </row>
    <row r="158" spans="11:79">
      <c r="K158" s="132">
        <f t="shared" si="118"/>
        <v>106</v>
      </c>
      <c r="L158" s="148">
        <f t="shared" si="68"/>
        <v>48883</v>
      </c>
      <c r="M158" s="131">
        <f t="shared" si="119"/>
        <v>34250</v>
      </c>
      <c r="N158" s="131">
        <f t="shared" si="69"/>
        <v>627.91999999999996</v>
      </c>
      <c r="O158" s="131">
        <f t="shared" si="70"/>
        <v>0</v>
      </c>
      <c r="P158" s="131">
        <f t="shared" si="71"/>
        <v>750</v>
      </c>
      <c r="Q158" s="131">
        <f t="shared" si="72"/>
        <v>33500</v>
      </c>
      <c r="R158" s="131">
        <f t="shared" si="120"/>
        <v>0</v>
      </c>
      <c r="S158" s="131">
        <f t="shared" si="73"/>
        <v>0</v>
      </c>
      <c r="T158" s="131">
        <f t="shared" si="74"/>
        <v>0</v>
      </c>
      <c r="U158" s="131">
        <f t="shared" si="75"/>
        <v>0</v>
      </c>
      <c r="V158" s="131">
        <f t="shared" si="76"/>
        <v>0</v>
      </c>
      <c r="W158" s="131">
        <f t="shared" si="121"/>
        <v>0</v>
      </c>
      <c r="X158" s="131">
        <f t="shared" si="77"/>
        <v>0</v>
      </c>
      <c r="Y158" s="131">
        <f t="shared" si="78"/>
        <v>0</v>
      </c>
      <c r="Z158" s="131">
        <f t="shared" si="79"/>
        <v>0</v>
      </c>
      <c r="AA158" s="131">
        <f t="shared" si="80"/>
        <v>0</v>
      </c>
      <c r="AB158" s="131">
        <f t="shared" si="122"/>
        <v>115000</v>
      </c>
      <c r="AC158" s="131">
        <f t="shared" si="81"/>
        <v>575</v>
      </c>
      <c r="AD158" s="131">
        <f t="shared" si="82"/>
        <v>0</v>
      </c>
      <c r="AE158" s="131">
        <f t="shared" si="83"/>
        <v>0</v>
      </c>
      <c r="AF158" s="131">
        <f t="shared" si="84"/>
        <v>115000</v>
      </c>
      <c r="AG158" s="131">
        <f t="shared" si="123"/>
        <v>0</v>
      </c>
      <c r="AH158" s="131">
        <f t="shared" si="85"/>
        <v>0</v>
      </c>
      <c r="AI158" s="131">
        <f t="shared" si="86"/>
        <v>0</v>
      </c>
      <c r="AJ158" s="131">
        <f t="shared" si="87"/>
        <v>0</v>
      </c>
      <c r="AK158" s="131">
        <f t="shared" si="88"/>
        <v>0</v>
      </c>
      <c r="AL158" s="131">
        <f t="shared" si="124"/>
        <v>0</v>
      </c>
      <c r="AM158" s="131">
        <f t="shared" si="89"/>
        <v>0</v>
      </c>
      <c r="AN158" s="131">
        <f t="shared" si="90"/>
        <v>0</v>
      </c>
      <c r="AO158" s="131">
        <f t="shared" si="91"/>
        <v>0</v>
      </c>
      <c r="AP158" s="131">
        <f t="shared" si="92"/>
        <v>0</v>
      </c>
      <c r="AQ158" s="149">
        <f t="shared" si="125"/>
        <v>750</v>
      </c>
      <c r="AR158" s="149">
        <f t="shared" si="126"/>
        <v>166330.92000000001</v>
      </c>
      <c r="AS158" s="133"/>
      <c r="AT158" s="132">
        <f t="shared" si="127"/>
        <v>106</v>
      </c>
      <c r="AU158" s="148">
        <f t="shared" si="93"/>
        <v>48883</v>
      </c>
      <c r="AV158" s="131">
        <f t="shared" si="128"/>
        <v>12500</v>
      </c>
      <c r="AW158" s="131">
        <f t="shared" si="94"/>
        <v>229.17</v>
      </c>
      <c r="AX158" s="131">
        <f t="shared" si="95"/>
        <v>0</v>
      </c>
      <c r="AY158" s="131">
        <f t="shared" si="96"/>
        <v>600</v>
      </c>
      <c r="AZ158" s="131">
        <f t="shared" si="97"/>
        <v>11900</v>
      </c>
      <c r="BA158" s="131">
        <f t="shared" si="129"/>
        <v>12850</v>
      </c>
      <c r="BB158" s="131">
        <f t="shared" si="98"/>
        <v>203.46</v>
      </c>
      <c r="BC158" s="131">
        <f t="shared" si="99"/>
        <v>0</v>
      </c>
      <c r="BD158" s="131">
        <f t="shared" si="100"/>
        <v>0</v>
      </c>
      <c r="BE158" s="131">
        <f t="shared" si="101"/>
        <v>12850</v>
      </c>
      <c r="BF158" s="131">
        <f t="shared" si="130"/>
        <v>0</v>
      </c>
      <c r="BG158" s="131">
        <f t="shared" si="102"/>
        <v>0</v>
      </c>
      <c r="BH158" s="131">
        <f t="shared" si="103"/>
        <v>0</v>
      </c>
      <c r="BI158" s="131">
        <f t="shared" si="104"/>
        <v>0</v>
      </c>
      <c r="BJ158" s="131">
        <f t="shared" si="105"/>
        <v>0</v>
      </c>
      <c r="BK158" s="131">
        <f t="shared" si="131"/>
        <v>115000</v>
      </c>
      <c r="BL158" s="131">
        <f t="shared" si="106"/>
        <v>575</v>
      </c>
      <c r="BM158" s="131">
        <f t="shared" si="107"/>
        <v>0</v>
      </c>
      <c r="BN158" s="131">
        <f t="shared" si="108"/>
        <v>0</v>
      </c>
      <c r="BO158" s="131">
        <f t="shared" si="109"/>
        <v>115000</v>
      </c>
      <c r="BP158" s="131">
        <f t="shared" si="132"/>
        <v>12000</v>
      </c>
      <c r="BQ158" s="131">
        <f t="shared" si="110"/>
        <v>50</v>
      </c>
      <c r="BR158" s="131">
        <f t="shared" si="111"/>
        <v>0</v>
      </c>
      <c r="BS158" s="131">
        <f t="shared" si="112"/>
        <v>0</v>
      </c>
      <c r="BT158" s="131">
        <f t="shared" si="113"/>
        <v>12000</v>
      </c>
      <c r="BU158" s="131">
        <f t="shared" si="133"/>
        <v>0</v>
      </c>
      <c r="BV158" s="131">
        <f t="shared" si="114"/>
        <v>0</v>
      </c>
      <c r="BW158" s="131">
        <f t="shared" si="115"/>
        <v>0</v>
      </c>
      <c r="BX158" s="131">
        <f t="shared" si="116"/>
        <v>0</v>
      </c>
      <c r="BY158" s="131">
        <f t="shared" si="117"/>
        <v>0</v>
      </c>
      <c r="BZ158" s="147">
        <f t="shared" si="134"/>
        <v>600</v>
      </c>
      <c r="CA158" s="147">
        <f t="shared" si="135"/>
        <v>157738.16000000012</v>
      </c>
    </row>
    <row r="159" spans="11:79">
      <c r="K159" s="152">
        <f t="shared" si="118"/>
        <v>107</v>
      </c>
      <c r="L159" s="151">
        <f t="shared" si="68"/>
        <v>48913</v>
      </c>
      <c r="M159" s="150">
        <f t="shared" si="119"/>
        <v>33500</v>
      </c>
      <c r="N159" s="150">
        <f t="shared" si="69"/>
        <v>614.16999999999996</v>
      </c>
      <c r="O159" s="150">
        <f t="shared" si="70"/>
        <v>0</v>
      </c>
      <c r="P159" s="150">
        <f t="shared" si="71"/>
        <v>750</v>
      </c>
      <c r="Q159" s="150">
        <f t="shared" si="72"/>
        <v>32750</v>
      </c>
      <c r="R159" s="150">
        <f t="shared" si="120"/>
        <v>0</v>
      </c>
      <c r="S159" s="150">
        <f t="shared" si="73"/>
        <v>0</v>
      </c>
      <c r="T159" s="150">
        <f t="shared" si="74"/>
        <v>0</v>
      </c>
      <c r="U159" s="150">
        <f t="shared" si="75"/>
        <v>0</v>
      </c>
      <c r="V159" s="150">
        <f t="shared" si="76"/>
        <v>0</v>
      </c>
      <c r="W159" s="150">
        <f t="shared" si="121"/>
        <v>0</v>
      </c>
      <c r="X159" s="150">
        <f t="shared" si="77"/>
        <v>0</v>
      </c>
      <c r="Y159" s="150">
        <f t="shared" si="78"/>
        <v>0</v>
      </c>
      <c r="Z159" s="150">
        <f t="shared" si="79"/>
        <v>0</v>
      </c>
      <c r="AA159" s="150">
        <f t="shared" si="80"/>
        <v>0</v>
      </c>
      <c r="AB159" s="150">
        <f t="shared" si="122"/>
        <v>115000</v>
      </c>
      <c r="AC159" s="150">
        <f t="shared" si="81"/>
        <v>575</v>
      </c>
      <c r="AD159" s="150">
        <f t="shared" si="82"/>
        <v>0</v>
      </c>
      <c r="AE159" s="150">
        <f t="shared" si="83"/>
        <v>0</v>
      </c>
      <c r="AF159" s="150">
        <f t="shared" si="84"/>
        <v>115000</v>
      </c>
      <c r="AG159" s="150">
        <f t="shared" si="123"/>
        <v>0</v>
      </c>
      <c r="AH159" s="150">
        <f t="shared" si="85"/>
        <v>0</v>
      </c>
      <c r="AI159" s="150">
        <f t="shared" si="86"/>
        <v>0</v>
      </c>
      <c r="AJ159" s="150">
        <f t="shared" si="87"/>
        <v>0</v>
      </c>
      <c r="AK159" s="150">
        <f t="shared" si="88"/>
        <v>0</v>
      </c>
      <c r="AL159" s="150">
        <f t="shared" si="124"/>
        <v>0</v>
      </c>
      <c r="AM159" s="150">
        <f t="shared" si="89"/>
        <v>0</v>
      </c>
      <c r="AN159" s="150">
        <f t="shared" si="90"/>
        <v>0</v>
      </c>
      <c r="AO159" s="150">
        <f t="shared" si="91"/>
        <v>0</v>
      </c>
      <c r="AP159" s="150">
        <f t="shared" si="92"/>
        <v>0</v>
      </c>
      <c r="AQ159" s="149">
        <f t="shared" si="125"/>
        <v>750</v>
      </c>
      <c r="AR159" s="149">
        <f t="shared" si="126"/>
        <v>167520.09000000003</v>
      </c>
      <c r="AS159" s="133"/>
      <c r="AT159" s="152">
        <f t="shared" si="127"/>
        <v>107</v>
      </c>
      <c r="AU159" s="151">
        <f t="shared" si="93"/>
        <v>48913</v>
      </c>
      <c r="AV159" s="150">
        <f t="shared" si="128"/>
        <v>11900</v>
      </c>
      <c r="AW159" s="150">
        <f t="shared" si="94"/>
        <v>218.17</v>
      </c>
      <c r="AX159" s="150">
        <f t="shared" si="95"/>
        <v>1.8300000000000125</v>
      </c>
      <c r="AY159" s="150">
        <f t="shared" si="96"/>
        <v>600</v>
      </c>
      <c r="AZ159" s="150">
        <f t="shared" si="97"/>
        <v>11298.17</v>
      </c>
      <c r="BA159" s="150">
        <f t="shared" si="129"/>
        <v>12850</v>
      </c>
      <c r="BB159" s="150">
        <f t="shared" si="98"/>
        <v>203.46</v>
      </c>
      <c r="BC159" s="150">
        <f t="shared" si="99"/>
        <v>0</v>
      </c>
      <c r="BD159" s="150">
        <f t="shared" si="100"/>
        <v>0</v>
      </c>
      <c r="BE159" s="150">
        <f t="shared" si="101"/>
        <v>12850</v>
      </c>
      <c r="BF159" s="150">
        <f t="shared" si="130"/>
        <v>0</v>
      </c>
      <c r="BG159" s="150">
        <f t="shared" si="102"/>
        <v>0</v>
      </c>
      <c r="BH159" s="150">
        <f t="shared" si="103"/>
        <v>0</v>
      </c>
      <c r="BI159" s="150">
        <f t="shared" si="104"/>
        <v>0</v>
      </c>
      <c r="BJ159" s="150">
        <f t="shared" si="105"/>
        <v>0</v>
      </c>
      <c r="BK159" s="150">
        <f t="shared" si="131"/>
        <v>115000</v>
      </c>
      <c r="BL159" s="150">
        <f t="shared" si="106"/>
        <v>575</v>
      </c>
      <c r="BM159" s="150">
        <f t="shared" si="107"/>
        <v>0</v>
      </c>
      <c r="BN159" s="150">
        <f t="shared" si="108"/>
        <v>0</v>
      </c>
      <c r="BO159" s="150">
        <f t="shared" si="109"/>
        <v>115000</v>
      </c>
      <c r="BP159" s="150">
        <f t="shared" si="132"/>
        <v>12000</v>
      </c>
      <c r="BQ159" s="150">
        <f t="shared" si="110"/>
        <v>50</v>
      </c>
      <c r="BR159" s="150">
        <f t="shared" si="111"/>
        <v>0</v>
      </c>
      <c r="BS159" s="150">
        <f t="shared" si="112"/>
        <v>0</v>
      </c>
      <c r="BT159" s="150">
        <f t="shared" si="113"/>
        <v>12000</v>
      </c>
      <c r="BU159" s="150">
        <f t="shared" si="133"/>
        <v>0</v>
      </c>
      <c r="BV159" s="150">
        <f t="shared" si="114"/>
        <v>0</v>
      </c>
      <c r="BW159" s="150">
        <f t="shared" si="115"/>
        <v>0</v>
      </c>
      <c r="BX159" s="150">
        <f t="shared" si="116"/>
        <v>0</v>
      </c>
      <c r="BY159" s="150">
        <f t="shared" si="117"/>
        <v>0</v>
      </c>
      <c r="BZ159" s="147">
        <f t="shared" si="134"/>
        <v>600</v>
      </c>
      <c r="CA159" s="147">
        <f t="shared" si="135"/>
        <v>158784.79000000012</v>
      </c>
    </row>
    <row r="160" spans="11:79">
      <c r="K160" s="132">
        <f t="shared" si="118"/>
        <v>108</v>
      </c>
      <c r="L160" s="148">
        <f t="shared" si="68"/>
        <v>48944</v>
      </c>
      <c r="M160" s="131">
        <f t="shared" si="119"/>
        <v>32750</v>
      </c>
      <c r="N160" s="131">
        <f t="shared" si="69"/>
        <v>600.41999999999996</v>
      </c>
      <c r="O160" s="131">
        <f t="shared" si="70"/>
        <v>0</v>
      </c>
      <c r="P160" s="131">
        <f t="shared" si="71"/>
        <v>750</v>
      </c>
      <c r="Q160" s="131">
        <f t="shared" si="72"/>
        <v>32000</v>
      </c>
      <c r="R160" s="131">
        <f t="shared" si="120"/>
        <v>0</v>
      </c>
      <c r="S160" s="131">
        <f t="shared" si="73"/>
        <v>0</v>
      </c>
      <c r="T160" s="131">
        <f t="shared" si="74"/>
        <v>0</v>
      </c>
      <c r="U160" s="131">
        <f t="shared" si="75"/>
        <v>0</v>
      </c>
      <c r="V160" s="131">
        <f t="shared" si="76"/>
        <v>0</v>
      </c>
      <c r="W160" s="131">
        <f t="shared" si="121"/>
        <v>0</v>
      </c>
      <c r="X160" s="131">
        <f t="shared" si="77"/>
        <v>0</v>
      </c>
      <c r="Y160" s="131">
        <f t="shared" si="78"/>
        <v>0</v>
      </c>
      <c r="Z160" s="131">
        <f t="shared" si="79"/>
        <v>0</v>
      </c>
      <c r="AA160" s="131">
        <f t="shared" si="80"/>
        <v>0</v>
      </c>
      <c r="AB160" s="131">
        <f t="shared" si="122"/>
        <v>115000</v>
      </c>
      <c r="AC160" s="131">
        <f t="shared" si="81"/>
        <v>575</v>
      </c>
      <c r="AD160" s="131">
        <f t="shared" si="82"/>
        <v>0</v>
      </c>
      <c r="AE160" s="131">
        <f t="shared" si="83"/>
        <v>0</v>
      </c>
      <c r="AF160" s="131">
        <f t="shared" si="84"/>
        <v>115000</v>
      </c>
      <c r="AG160" s="131">
        <f t="shared" si="123"/>
        <v>0</v>
      </c>
      <c r="AH160" s="131">
        <f t="shared" si="85"/>
        <v>0</v>
      </c>
      <c r="AI160" s="131">
        <f t="shared" si="86"/>
        <v>0</v>
      </c>
      <c r="AJ160" s="131">
        <f t="shared" si="87"/>
        <v>0</v>
      </c>
      <c r="AK160" s="131">
        <f t="shared" si="88"/>
        <v>0</v>
      </c>
      <c r="AL160" s="131">
        <f t="shared" si="124"/>
        <v>0</v>
      </c>
      <c r="AM160" s="131">
        <f t="shared" si="89"/>
        <v>0</v>
      </c>
      <c r="AN160" s="131">
        <f t="shared" si="90"/>
        <v>0</v>
      </c>
      <c r="AO160" s="131">
        <f t="shared" si="91"/>
        <v>0</v>
      </c>
      <c r="AP160" s="131">
        <f t="shared" si="92"/>
        <v>0</v>
      </c>
      <c r="AQ160" s="149">
        <f t="shared" si="125"/>
        <v>750</v>
      </c>
      <c r="AR160" s="149">
        <f t="shared" si="126"/>
        <v>168695.51000000004</v>
      </c>
      <c r="AS160" s="133"/>
      <c r="AT160" s="132">
        <f t="shared" si="127"/>
        <v>108</v>
      </c>
      <c r="AU160" s="148">
        <f t="shared" si="93"/>
        <v>48944</v>
      </c>
      <c r="AV160" s="131">
        <f t="shared" si="128"/>
        <v>11298.17</v>
      </c>
      <c r="AW160" s="131">
        <f t="shared" si="94"/>
        <v>207.13</v>
      </c>
      <c r="AX160" s="131">
        <f t="shared" si="95"/>
        <v>12.870000000000005</v>
      </c>
      <c r="AY160" s="131">
        <f t="shared" si="96"/>
        <v>600</v>
      </c>
      <c r="AZ160" s="131">
        <f t="shared" si="97"/>
        <v>10685.3</v>
      </c>
      <c r="BA160" s="131">
        <f t="shared" si="129"/>
        <v>12850</v>
      </c>
      <c r="BB160" s="131">
        <f t="shared" si="98"/>
        <v>203.46</v>
      </c>
      <c r="BC160" s="131">
        <f t="shared" si="99"/>
        <v>0</v>
      </c>
      <c r="BD160" s="131">
        <f t="shared" si="100"/>
        <v>0</v>
      </c>
      <c r="BE160" s="131">
        <f t="shared" si="101"/>
        <v>12850</v>
      </c>
      <c r="BF160" s="131">
        <f t="shared" si="130"/>
        <v>0</v>
      </c>
      <c r="BG160" s="131">
        <f t="shared" si="102"/>
        <v>0</v>
      </c>
      <c r="BH160" s="131">
        <f t="shared" si="103"/>
        <v>0</v>
      </c>
      <c r="BI160" s="131">
        <f t="shared" si="104"/>
        <v>0</v>
      </c>
      <c r="BJ160" s="131">
        <f t="shared" si="105"/>
        <v>0</v>
      </c>
      <c r="BK160" s="131">
        <f t="shared" si="131"/>
        <v>115000</v>
      </c>
      <c r="BL160" s="131">
        <f t="shared" si="106"/>
        <v>575</v>
      </c>
      <c r="BM160" s="131">
        <f t="shared" si="107"/>
        <v>0</v>
      </c>
      <c r="BN160" s="131">
        <f t="shared" si="108"/>
        <v>0</v>
      </c>
      <c r="BO160" s="131">
        <f t="shared" si="109"/>
        <v>115000</v>
      </c>
      <c r="BP160" s="131">
        <f t="shared" si="132"/>
        <v>12000</v>
      </c>
      <c r="BQ160" s="131">
        <f t="shared" si="110"/>
        <v>50</v>
      </c>
      <c r="BR160" s="131">
        <f t="shared" si="111"/>
        <v>0</v>
      </c>
      <c r="BS160" s="131">
        <f t="shared" si="112"/>
        <v>0</v>
      </c>
      <c r="BT160" s="131">
        <f t="shared" si="113"/>
        <v>12000</v>
      </c>
      <c r="BU160" s="131">
        <f t="shared" si="133"/>
        <v>0</v>
      </c>
      <c r="BV160" s="131">
        <f t="shared" si="114"/>
        <v>0</v>
      </c>
      <c r="BW160" s="131">
        <f t="shared" si="115"/>
        <v>0</v>
      </c>
      <c r="BX160" s="131">
        <f t="shared" si="116"/>
        <v>0</v>
      </c>
      <c r="BY160" s="131">
        <f t="shared" si="117"/>
        <v>0</v>
      </c>
      <c r="BZ160" s="147">
        <f t="shared" si="134"/>
        <v>600</v>
      </c>
      <c r="CA160" s="147">
        <f t="shared" si="135"/>
        <v>159820.38000000012</v>
      </c>
    </row>
    <row r="161" spans="11:79">
      <c r="K161" s="152">
        <f t="shared" si="118"/>
        <v>109</v>
      </c>
      <c r="L161" s="151">
        <f t="shared" si="68"/>
        <v>48975</v>
      </c>
      <c r="M161" s="150">
        <f t="shared" si="119"/>
        <v>32000</v>
      </c>
      <c r="N161" s="150">
        <f t="shared" si="69"/>
        <v>586.66999999999996</v>
      </c>
      <c r="O161" s="150">
        <f t="shared" si="70"/>
        <v>0</v>
      </c>
      <c r="P161" s="150">
        <f t="shared" si="71"/>
        <v>750</v>
      </c>
      <c r="Q161" s="150">
        <f t="shared" si="72"/>
        <v>31250</v>
      </c>
      <c r="R161" s="150">
        <f t="shared" si="120"/>
        <v>0</v>
      </c>
      <c r="S161" s="150">
        <f t="shared" si="73"/>
        <v>0</v>
      </c>
      <c r="T161" s="150">
        <f t="shared" si="74"/>
        <v>0</v>
      </c>
      <c r="U161" s="150">
        <f t="shared" si="75"/>
        <v>0</v>
      </c>
      <c r="V161" s="150">
        <f t="shared" si="76"/>
        <v>0</v>
      </c>
      <c r="W161" s="150">
        <f t="shared" si="121"/>
        <v>0</v>
      </c>
      <c r="X161" s="150">
        <f t="shared" si="77"/>
        <v>0</v>
      </c>
      <c r="Y161" s="150">
        <f t="shared" si="78"/>
        <v>0</v>
      </c>
      <c r="Z161" s="150">
        <f t="shared" si="79"/>
        <v>0</v>
      </c>
      <c r="AA161" s="150">
        <f t="shared" si="80"/>
        <v>0</v>
      </c>
      <c r="AB161" s="150">
        <f t="shared" si="122"/>
        <v>115000</v>
      </c>
      <c r="AC161" s="150">
        <f t="shared" si="81"/>
        <v>575</v>
      </c>
      <c r="AD161" s="150">
        <f t="shared" si="82"/>
        <v>0</v>
      </c>
      <c r="AE161" s="150">
        <f t="shared" si="83"/>
        <v>0</v>
      </c>
      <c r="AF161" s="150">
        <f t="shared" si="84"/>
        <v>115000</v>
      </c>
      <c r="AG161" s="150">
        <f t="shared" si="123"/>
        <v>0</v>
      </c>
      <c r="AH161" s="150">
        <f t="shared" si="85"/>
        <v>0</v>
      </c>
      <c r="AI161" s="150">
        <f t="shared" si="86"/>
        <v>0</v>
      </c>
      <c r="AJ161" s="150">
        <f t="shared" si="87"/>
        <v>0</v>
      </c>
      <c r="AK161" s="150">
        <f t="shared" si="88"/>
        <v>0</v>
      </c>
      <c r="AL161" s="150">
        <f t="shared" si="124"/>
        <v>0</v>
      </c>
      <c r="AM161" s="150">
        <f t="shared" si="89"/>
        <v>0</v>
      </c>
      <c r="AN161" s="150">
        <f t="shared" si="90"/>
        <v>0</v>
      </c>
      <c r="AO161" s="150">
        <f t="shared" si="91"/>
        <v>0</v>
      </c>
      <c r="AP161" s="150">
        <f t="shared" si="92"/>
        <v>0</v>
      </c>
      <c r="AQ161" s="149">
        <f t="shared" si="125"/>
        <v>750</v>
      </c>
      <c r="AR161" s="149">
        <f t="shared" si="126"/>
        <v>169857.18000000005</v>
      </c>
      <c r="AS161" s="133"/>
      <c r="AT161" s="152">
        <f t="shared" si="127"/>
        <v>109</v>
      </c>
      <c r="AU161" s="151">
        <f t="shared" si="93"/>
        <v>48975</v>
      </c>
      <c r="AV161" s="150">
        <f t="shared" si="128"/>
        <v>10685.3</v>
      </c>
      <c r="AW161" s="150">
        <f t="shared" si="94"/>
        <v>195.9</v>
      </c>
      <c r="AX161" s="150">
        <f t="shared" si="95"/>
        <v>24.099999999999994</v>
      </c>
      <c r="AY161" s="150">
        <f t="shared" si="96"/>
        <v>600</v>
      </c>
      <c r="AZ161" s="150">
        <f t="shared" si="97"/>
        <v>10061.200000000001</v>
      </c>
      <c r="BA161" s="150">
        <f t="shared" si="129"/>
        <v>12850</v>
      </c>
      <c r="BB161" s="150">
        <f t="shared" si="98"/>
        <v>203.46</v>
      </c>
      <c r="BC161" s="150">
        <f t="shared" si="99"/>
        <v>0</v>
      </c>
      <c r="BD161" s="150">
        <f t="shared" si="100"/>
        <v>0</v>
      </c>
      <c r="BE161" s="150">
        <f t="shared" si="101"/>
        <v>12850</v>
      </c>
      <c r="BF161" s="150">
        <f t="shared" si="130"/>
        <v>0</v>
      </c>
      <c r="BG161" s="150">
        <f t="shared" si="102"/>
        <v>0</v>
      </c>
      <c r="BH161" s="150">
        <f t="shared" si="103"/>
        <v>0</v>
      </c>
      <c r="BI161" s="150">
        <f t="shared" si="104"/>
        <v>0</v>
      </c>
      <c r="BJ161" s="150">
        <f t="shared" si="105"/>
        <v>0</v>
      </c>
      <c r="BK161" s="150">
        <f t="shared" si="131"/>
        <v>115000</v>
      </c>
      <c r="BL161" s="150">
        <f t="shared" si="106"/>
        <v>575</v>
      </c>
      <c r="BM161" s="150">
        <f t="shared" si="107"/>
        <v>0</v>
      </c>
      <c r="BN161" s="150">
        <f t="shared" si="108"/>
        <v>0</v>
      </c>
      <c r="BO161" s="150">
        <f t="shared" si="109"/>
        <v>115000</v>
      </c>
      <c r="BP161" s="150">
        <f t="shared" si="132"/>
        <v>12000</v>
      </c>
      <c r="BQ161" s="150">
        <f t="shared" si="110"/>
        <v>50</v>
      </c>
      <c r="BR161" s="150">
        <f t="shared" si="111"/>
        <v>0</v>
      </c>
      <c r="BS161" s="150">
        <f t="shared" si="112"/>
        <v>0</v>
      </c>
      <c r="BT161" s="150">
        <f t="shared" si="113"/>
        <v>12000</v>
      </c>
      <c r="BU161" s="150">
        <f t="shared" si="133"/>
        <v>0</v>
      </c>
      <c r="BV161" s="150">
        <f t="shared" si="114"/>
        <v>0</v>
      </c>
      <c r="BW161" s="150">
        <f t="shared" si="115"/>
        <v>0</v>
      </c>
      <c r="BX161" s="150">
        <f t="shared" si="116"/>
        <v>0</v>
      </c>
      <c r="BY161" s="150">
        <f t="shared" si="117"/>
        <v>0</v>
      </c>
      <c r="BZ161" s="147">
        <f t="shared" si="134"/>
        <v>600</v>
      </c>
      <c r="CA161" s="147">
        <f t="shared" si="135"/>
        <v>160844.74000000011</v>
      </c>
    </row>
    <row r="162" spans="11:79">
      <c r="K162" s="132">
        <f t="shared" si="118"/>
        <v>110</v>
      </c>
      <c r="L162" s="148">
        <f t="shared" si="68"/>
        <v>49003</v>
      </c>
      <c r="M162" s="131">
        <f t="shared" si="119"/>
        <v>31250</v>
      </c>
      <c r="N162" s="131">
        <f t="shared" si="69"/>
        <v>572.91999999999996</v>
      </c>
      <c r="O162" s="131">
        <f t="shared" si="70"/>
        <v>0</v>
      </c>
      <c r="P162" s="131">
        <f t="shared" si="71"/>
        <v>750</v>
      </c>
      <c r="Q162" s="131">
        <f t="shared" si="72"/>
        <v>30500</v>
      </c>
      <c r="R162" s="131">
        <f t="shared" si="120"/>
        <v>0</v>
      </c>
      <c r="S162" s="131">
        <f t="shared" si="73"/>
        <v>0</v>
      </c>
      <c r="T162" s="131">
        <f t="shared" si="74"/>
        <v>0</v>
      </c>
      <c r="U162" s="131">
        <f t="shared" si="75"/>
        <v>0</v>
      </c>
      <c r="V162" s="131">
        <f t="shared" si="76"/>
        <v>0</v>
      </c>
      <c r="W162" s="131">
        <f t="shared" si="121"/>
        <v>0</v>
      </c>
      <c r="X162" s="131">
        <f t="shared" si="77"/>
        <v>0</v>
      </c>
      <c r="Y162" s="131">
        <f t="shared" si="78"/>
        <v>0</v>
      </c>
      <c r="Z162" s="131">
        <f t="shared" si="79"/>
        <v>0</v>
      </c>
      <c r="AA162" s="131">
        <f t="shared" si="80"/>
        <v>0</v>
      </c>
      <c r="AB162" s="131">
        <f t="shared" si="122"/>
        <v>115000</v>
      </c>
      <c r="AC162" s="131">
        <f t="shared" si="81"/>
        <v>575</v>
      </c>
      <c r="AD162" s="131">
        <f t="shared" si="82"/>
        <v>0</v>
      </c>
      <c r="AE162" s="131">
        <f t="shared" si="83"/>
        <v>0</v>
      </c>
      <c r="AF162" s="131">
        <f t="shared" si="84"/>
        <v>115000</v>
      </c>
      <c r="AG162" s="131">
        <f t="shared" si="123"/>
        <v>0</v>
      </c>
      <c r="AH162" s="131">
        <f t="shared" si="85"/>
        <v>0</v>
      </c>
      <c r="AI162" s="131">
        <f t="shared" si="86"/>
        <v>0</v>
      </c>
      <c r="AJ162" s="131">
        <f t="shared" si="87"/>
        <v>0</v>
      </c>
      <c r="AK162" s="131">
        <f t="shared" si="88"/>
        <v>0</v>
      </c>
      <c r="AL162" s="131">
        <f t="shared" si="124"/>
        <v>0</v>
      </c>
      <c r="AM162" s="131">
        <f t="shared" si="89"/>
        <v>0</v>
      </c>
      <c r="AN162" s="131">
        <f t="shared" si="90"/>
        <v>0</v>
      </c>
      <c r="AO162" s="131">
        <f t="shared" si="91"/>
        <v>0</v>
      </c>
      <c r="AP162" s="131">
        <f t="shared" si="92"/>
        <v>0</v>
      </c>
      <c r="AQ162" s="149">
        <f t="shared" si="125"/>
        <v>750</v>
      </c>
      <c r="AR162" s="149">
        <f t="shared" si="126"/>
        <v>171005.10000000006</v>
      </c>
      <c r="AS162" s="133"/>
      <c r="AT162" s="132">
        <f t="shared" si="127"/>
        <v>110</v>
      </c>
      <c r="AU162" s="148">
        <f t="shared" si="93"/>
        <v>49003</v>
      </c>
      <c r="AV162" s="131">
        <f t="shared" si="128"/>
        <v>10061.200000000001</v>
      </c>
      <c r="AW162" s="131">
        <f t="shared" si="94"/>
        <v>184.46</v>
      </c>
      <c r="AX162" s="131">
        <f t="shared" si="95"/>
        <v>35.539999999999992</v>
      </c>
      <c r="AY162" s="131">
        <f t="shared" si="96"/>
        <v>600</v>
      </c>
      <c r="AZ162" s="131">
        <f t="shared" si="97"/>
        <v>9425.66</v>
      </c>
      <c r="BA162" s="131">
        <f t="shared" si="129"/>
        <v>12850</v>
      </c>
      <c r="BB162" s="131">
        <f t="shared" si="98"/>
        <v>203.46</v>
      </c>
      <c r="BC162" s="131">
        <f t="shared" si="99"/>
        <v>0</v>
      </c>
      <c r="BD162" s="131">
        <f t="shared" si="100"/>
        <v>0</v>
      </c>
      <c r="BE162" s="131">
        <f t="shared" si="101"/>
        <v>12850</v>
      </c>
      <c r="BF162" s="131">
        <f t="shared" si="130"/>
        <v>0</v>
      </c>
      <c r="BG162" s="131">
        <f t="shared" si="102"/>
        <v>0</v>
      </c>
      <c r="BH162" s="131">
        <f t="shared" si="103"/>
        <v>0</v>
      </c>
      <c r="BI162" s="131">
        <f t="shared" si="104"/>
        <v>0</v>
      </c>
      <c r="BJ162" s="131">
        <f t="shared" si="105"/>
        <v>0</v>
      </c>
      <c r="BK162" s="131">
        <f t="shared" si="131"/>
        <v>115000</v>
      </c>
      <c r="BL162" s="131">
        <f t="shared" si="106"/>
        <v>575</v>
      </c>
      <c r="BM162" s="131">
        <f t="shared" si="107"/>
        <v>0</v>
      </c>
      <c r="BN162" s="131">
        <f t="shared" si="108"/>
        <v>0</v>
      </c>
      <c r="BO162" s="131">
        <f t="shared" si="109"/>
        <v>115000</v>
      </c>
      <c r="BP162" s="131">
        <f t="shared" si="132"/>
        <v>12000</v>
      </c>
      <c r="BQ162" s="131">
        <f t="shared" si="110"/>
        <v>50</v>
      </c>
      <c r="BR162" s="131">
        <f t="shared" si="111"/>
        <v>0</v>
      </c>
      <c r="BS162" s="131">
        <f t="shared" si="112"/>
        <v>0</v>
      </c>
      <c r="BT162" s="131">
        <f t="shared" si="113"/>
        <v>12000</v>
      </c>
      <c r="BU162" s="131">
        <f t="shared" si="133"/>
        <v>0</v>
      </c>
      <c r="BV162" s="131">
        <f t="shared" si="114"/>
        <v>0</v>
      </c>
      <c r="BW162" s="131">
        <f t="shared" si="115"/>
        <v>0</v>
      </c>
      <c r="BX162" s="131">
        <f t="shared" si="116"/>
        <v>0</v>
      </c>
      <c r="BY162" s="131">
        <f t="shared" si="117"/>
        <v>0</v>
      </c>
      <c r="BZ162" s="147">
        <f t="shared" si="134"/>
        <v>600</v>
      </c>
      <c r="CA162" s="147">
        <f t="shared" si="135"/>
        <v>161857.66000000012</v>
      </c>
    </row>
    <row r="163" spans="11:79">
      <c r="K163" s="152">
        <f t="shared" si="118"/>
        <v>111</v>
      </c>
      <c r="L163" s="151">
        <f t="shared" si="68"/>
        <v>49034</v>
      </c>
      <c r="M163" s="150">
        <f t="shared" si="119"/>
        <v>30500</v>
      </c>
      <c r="N163" s="150">
        <f t="shared" si="69"/>
        <v>559.16999999999996</v>
      </c>
      <c r="O163" s="150">
        <f t="shared" si="70"/>
        <v>0</v>
      </c>
      <c r="P163" s="150">
        <f t="shared" si="71"/>
        <v>750</v>
      </c>
      <c r="Q163" s="150">
        <f t="shared" si="72"/>
        <v>29750</v>
      </c>
      <c r="R163" s="150">
        <f t="shared" si="120"/>
        <v>0</v>
      </c>
      <c r="S163" s="150">
        <f t="shared" si="73"/>
        <v>0</v>
      </c>
      <c r="T163" s="150">
        <f t="shared" si="74"/>
        <v>0</v>
      </c>
      <c r="U163" s="150">
        <f t="shared" si="75"/>
        <v>0</v>
      </c>
      <c r="V163" s="150">
        <f t="shared" si="76"/>
        <v>0</v>
      </c>
      <c r="W163" s="150">
        <f t="shared" si="121"/>
        <v>0</v>
      </c>
      <c r="X163" s="150">
        <f t="shared" si="77"/>
        <v>0</v>
      </c>
      <c r="Y163" s="150">
        <f t="shared" si="78"/>
        <v>0</v>
      </c>
      <c r="Z163" s="150">
        <f t="shared" si="79"/>
        <v>0</v>
      </c>
      <c r="AA163" s="150">
        <f t="shared" si="80"/>
        <v>0</v>
      </c>
      <c r="AB163" s="150">
        <f t="shared" si="122"/>
        <v>115000</v>
      </c>
      <c r="AC163" s="150">
        <f t="shared" si="81"/>
        <v>575</v>
      </c>
      <c r="AD163" s="150">
        <f t="shared" si="82"/>
        <v>0</v>
      </c>
      <c r="AE163" s="150">
        <f t="shared" si="83"/>
        <v>0</v>
      </c>
      <c r="AF163" s="150">
        <f t="shared" si="84"/>
        <v>115000</v>
      </c>
      <c r="AG163" s="150">
        <f t="shared" si="123"/>
        <v>0</v>
      </c>
      <c r="AH163" s="150">
        <f t="shared" si="85"/>
        <v>0</v>
      </c>
      <c r="AI163" s="150">
        <f t="shared" si="86"/>
        <v>0</v>
      </c>
      <c r="AJ163" s="150">
        <f t="shared" si="87"/>
        <v>0</v>
      </c>
      <c r="AK163" s="150">
        <f t="shared" si="88"/>
        <v>0</v>
      </c>
      <c r="AL163" s="150">
        <f t="shared" si="124"/>
        <v>0</v>
      </c>
      <c r="AM163" s="150">
        <f t="shared" si="89"/>
        <v>0</v>
      </c>
      <c r="AN163" s="150">
        <f t="shared" si="90"/>
        <v>0</v>
      </c>
      <c r="AO163" s="150">
        <f t="shared" si="91"/>
        <v>0</v>
      </c>
      <c r="AP163" s="150">
        <f t="shared" si="92"/>
        <v>0</v>
      </c>
      <c r="AQ163" s="149">
        <f t="shared" si="125"/>
        <v>750</v>
      </c>
      <c r="AR163" s="149">
        <f t="shared" si="126"/>
        <v>172139.27000000008</v>
      </c>
      <c r="AS163" s="133"/>
      <c r="AT163" s="152">
        <f t="shared" si="127"/>
        <v>111</v>
      </c>
      <c r="AU163" s="151">
        <f t="shared" si="93"/>
        <v>49034</v>
      </c>
      <c r="AV163" s="150">
        <f t="shared" si="128"/>
        <v>9425.66</v>
      </c>
      <c r="AW163" s="150">
        <f t="shared" si="94"/>
        <v>172.8</v>
      </c>
      <c r="AX163" s="150">
        <f t="shared" si="95"/>
        <v>47.199999999999989</v>
      </c>
      <c r="AY163" s="150">
        <f t="shared" si="96"/>
        <v>600</v>
      </c>
      <c r="AZ163" s="150">
        <f t="shared" si="97"/>
        <v>8778.4599999999991</v>
      </c>
      <c r="BA163" s="150">
        <f t="shared" si="129"/>
        <v>12850</v>
      </c>
      <c r="BB163" s="150">
        <f t="shared" si="98"/>
        <v>203.46</v>
      </c>
      <c r="BC163" s="150">
        <f t="shared" si="99"/>
        <v>0</v>
      </c>
      <c r="BD163" s="150">
        <f t="shared" si="100"/>
        <v>0</v>
      </c>
      <c r="BE163" s="150">
        <f t="shared" si="101"/>
        <v>12850</v>
      </c>
      <c r="BF163" s="150">
        <f t="shared" si="130"/>
        <v>0</v>
      </c>
      <c r="BG163" s="150">
        <f t="shared" si="102"/>
        <v>0</v>
      </c>
      <c r="BH163" s="150">
        <f t="shared" si="103"/>
        <v>0</v>
      </c>
      <c r="BI163" s="150">
        <f t="shared" si="104"/>
        <v>0</v>
      </c>
      <c r="BJ163" s="150">
        <f t="shared" si="105"/>
        <v>0</v>
      </c>
      <c r="BK163" s="150">
        <f t="shared" si="131"/>
        <v>115000</v>
      </c>
      <c r="BL163" s="150">
        <f t="shared" si="106"/>
        <v>575</v>
      </c>
      <c r="BM163" s="150">
        <f t="shared" si="107"/>
        <v>0</v>
      </c>
      <c r="BN163" s="150">
        <f t="shared" si="108"/>
        <v>0</v>
      </c>
      <c r="BO163" s="150">
        <f t="shared" si="109"/>
        <v>115000</v>
      </c>
      <c r="BP163" s="150">
        <f t="shared" si="132"/>
        <v>12000</v>
      </c>
      <c r="BQ163" s="150">
        <f t="shared" si="110"/>
        <v>50</v>
      </c>
      <c r="BR163" s="150">
        <f t="shared" si="111"/>
        <v>0</v>
      </c>
      <c r="BS163" s="150">
        <f t="shared" si="112"/>
        <v>0</v>
      </c>
      <c r="BT163" s="150">
        <f t="shared" si="113"/>
        <v>12000</v>
      </c>
      <c r="BU163" s="150">
        <f t="shared" si="133"/>
        <v>0</v>
      </c>
      <c r="BV163" s="150">
        <f t="shared" si="114"/>
        <v>0</v>
      </c>
      <c r="BW163" s="150">
        <f t="shared" si="115"/>
        <v>0</v>
      </c>
      <c r="BX163" s="150">
        <f t="shared" si="116"/>
        <v>0</v>
      </c>
      <c r="BY163" s="150">
        <f t="shared" si="117"/>
        <v>0</v>
      </c>
      <c r="BZ163" s="147">
        <f t="shared" si="134"/>
        <v>600</v>
      </c>
      <c r="CA163" s="147">
        <f t="shared" si="135"/>
        <v>162858.92000000013</v>
      </c>
    </row>
    <row r="164" spans="11:79">
      <c r="K164" s="132">
        <f t="shared" si="118"/>
        <v>112</v>
      </c>
      <c r="L164" s="148">
        <f t="shared" si="68"/>
        <v>49064</v>
      </c>
      <c r="M164" s="131">
        <f t="shared" si="119"/>
        <v>29750</v>
      </c>
      <c r="N164" s="131">
        <f t="shared" si="69"/>
        <v>545.41999999999996</v>
      </c>
      <c r="O164" s="131">
        <f t="shared" si="70"/>
        <v>0</v>
      </c>
      <c r="P164" s="131">
        <f t="shared" si="71"/>
        <v>750</v>
      </c>
      <c r="Q164" s="131">
        <f t="shared" si="72"/>
        <v>29000</v>
      </c>
      <c r="R164" s="131">
        <f t="shared" si="120"/>
        <v>0</v>
      </c>
      <c r="S164" s="131">
        <f t="shared" si="73"/>
        <v>0</v>
      </c>
      <c r="T164" s="131">
        <f t="shared" si="74"/>
        <v>0</v>
      </c>
      <c r="U164" s="131">
        <f t="shared" si="75"/>
        <v>0</v>
      </c>
      <c r="V164" s="131">
        <f t="shared" si="76"/>
        <v>0</v>
      </c>
      <c r="W164" s="131">
        <f t="shared" si="121"/>
        <v>0</v>
      </c>
      <c r="X164" s="131">
        <f t="shared" si="77"/>
        <v>0</v>
      </c>
      <c r="Y164" s="131">
        <f t="shared" si="78"/>
        <v>0</v>
      </c>
      <c r="Z164" s="131">
        <f t="shared" si="79"/>
        <v>0</v>
      </c>
      <c r="AA164" s="131">
        <f t="shared" si="80"/>
        <v>0</v>
      </c>
      <c r="AB164" s="131">
        <f t="shared" si="122"/>
        <v>115000</v>
      </c>
      <c r="AC164" s="131">
        <f t="shared" si="81"/>
        <v>575</v>
      </c>
      <c r="AD164" s="131">
        <f t="shared" si="82"/>
        <v>0</v>
      </c>
      <c r="AE164" s="131">
        <f t="shared" si="83"/>
        <v>0</v>
      </c>
      <c r="AF164" s="131">
        <f t="shared" si="84"/>
        <v>115000</v>
      </c>
      <c r="AG164" s="131">
        <f t="shared" si="123"/>
        <v>0</v>
      </c>
      <c r="AH164" s="131">
        <f t="shared" si="85"/>
        <v>0</v>
      </c>
      <c r="AI164" s="131">
        <f t="shared" si="86"/>
        <v>0</v>
      </c>
      <c r="AJ164" s="131">
        <f t="shared" si="87"/>
        <v>0</v>
      </c>
      <c r="AK164" s="131">
        <f t="shared" si="88"/>
        <v>0</v>
      </c>
      <c r="AL164" s="131">
        <f t="shared" si="124"/>
        <v>0</v>
      </c>
      <c r="AM164" s="131">
        <f t="shared" si="89"/>
        <v>0</v>
      </c>
      <c r="AN164" s="131">
        <f t="shared" si="90"/>
        <v>0</v>
      </c>
      <c r="AO164" s="131">
        <f t="shared" si="91"/>
        <v>0</v>
      </c>
      <c r="AP164" s="131">
        <f t="shared" si="92"/>
        <v>0</v>
      </c>
      <c r="AQ164" s="149">
        <f t="shared" si="125"/>
        <v>750</v>
      </c>
      <c r="AR164" s="149">
        <f t="shared" si="126"/>
        <v>173259.69000000009</v>
      </c>
      <c r="AS164" s="133"/>
      <c r="AT164" s="132">
        <f t="shared" si="127"/>
        <v>112</v>
      </c>
      <c r="AU164" s="148">
        <f t="shared" si="93"/>
        <v>49064</v>
      </c>
      <c r="AV164" s="131">
        <f t="shared" si="128"/>
        <v>8778.4599999999991</v>
      </c>
      <c r="AW164" s="131">
        <f t="shared" si="94"/>
        <v>160.94</v>
      </c>
      <c r="AX164" s="131">
        <f t="shared" si="95"/>
        <v>59.06</v>
      </c>
      <c r="AY164" s="131">
        <f t="shared" si="96"/>
        <v>600</v>
      </c>
      <c r="AZ164" s="131">
        <f t="shared" si="97"/>
        <v>8119.4</v>
      </c>
      <c r="BA164" s="131">
        <f t="shared" si="129"/>
        <v>12850</v>
      </c>
      <c r="BB164" s="131">
        <f t="shared" si="98"/>
        <v>203.46</v>
      </c>
      <c r="BC164" s="131">
        <f t="shared" si="99"/>
        <v>0</v>
      </c>
      <c r="BD164" s="131">
        <f t="shared" si="100"/>
        <v>0</v>
      </c>
      <c r="BE164" s="131">
        <f t="shared" si="101"/>
        <v>12850</v>
      </c>
      <c r="BF164" s="131">
        <f t="shared" si="130"/>
        <v>0</v>
      </c>
      <c r="BG164" s="131">
        <f t="shared" si="102"/>
        <v>0</v>
      </c>
      <c r="BH164" s="131">
        <f t="shared" si="103"/>
        <v>0</v>
      </c>
      <c r="BI164" s="131">
        <f t="shared" si="104"/>
        <v>0</v>
      </c>
      <c r="BJ164" s="131">
        <f t="shared" si="105"/>
        <v>0</v>
      </c>
      <c r="BK164" s="131">
        <f t="shared" si="131"/>
        <v>115000</v>
      </c>
      <c r="BL164" s="131">
        <f t="shared" si="106"/>
        <v>575</v>
      </c>
      <c r="BM164" s="131">
        <f t="shared" si="107"/>
        <v>0</v>
      </c>
      <c r="BN164" s="131">
        <f t="shared" si="108"/>
        <v>0</v>
      </c>
      <c r="BO164" s="131">
        <f t="shared" si="109"/>
        <v>115000</v>
      </c>
      <c r="BP164" s="131">
        <f t="shared" si="132"/>
        <v>12000</v>
      </c>
      <c r="BQ164" s="131">
        <f t="shared" si="110"/>
        <v>50</v>
      </c>
      <c r="BR164" s="131">
        <f t="shared" si="111"/>
        <v>0</v>
      </c>
      <c r="BS164" s="131">
        <f t="shared" si="112"/>
        <v>0</v>
      </c>
      <c r="BT164" s="131">
        <f t="shared" si="113"/>
        <v>12000</v>
      </c>
      <c r="BU164" s="131">
        <f t="shared" si="133"/>
        <v>0</v>
      </c>
      <c r="BV164" s="131">
        <f t="shared" si="114"/>
        <v>0</v>
      </c>
      <c r="BW164" s="131">
        <f t="shared" si="115"/>
        <v>0</v>
      </c>
      <c r="BX164" s="131">
        <f t="shared" si="116"/>
        <v>0</v>
      </c>
      <c r="BY164" s="131">
        <f t="shared" si="117"/>
        <v>0</v>
      </c>
      <c r="BZ164" s="147">
        <f t="shared" si="134"/>
        <v>600</v>
      </c>
      <c r="CA164" s="147">
        <f t="shared" si="135"/>
        <v>163848.32000000012</v>
      </c>
    </row>
    <row r="165" spans="11:79">
      <c r="K165" s="152">
        <f t="shared" si="118"/>
        <v>113</v>
      </c>
      <c r="L165" s="151">
        <f t="shared" si="68"/>
        <v>49095</v>
      </c>
      <c r="M165" s="150">
        <f t="shared" si="119"/>
        <v>29000</v>
      </c>
      <c r="N165" s="150">
        <f t="shared" si="69"/>
        <v>531.66999999999996</v>
      </c>
      <c r="O165" s="150">
        <f t="shared" si="70"/>
        <v>0</v>
      </c>
      <c r="P165" s="150">
        <f t="shared" si="71"/>
        <v>750</v>
      </c>
      <c r="Q165" s="150">
        <f t="shared" si="72"/>
        <v>28250</v>
      </c>
      <c r="R165" s="150">
        <f t="shared" si="120"/>
        <v>0</v>
      </c>
      <c r="S165" s="150">
        <f t="shared" si="73"/>
        <v>0</v>
      </c>
      <c r="T165" s="150">
        <f t="shared" si="74"/>
        <v>0</v>
      </c>
      <c r="U165" s="150">
        <f t="shared" si="75"/>
        <v>0</v>
      </c>
      <c r="V165" s="150">
        <f t="shared" si="76"/>
        <v>0</v>
      </c>
      <c r="W165" s="150">
        <f t="shared" si="121"/>
        <v>0</v>
      </c>
      <c r="X165" s="150">
        <f t="shared" si="77"/>
        <v>0</v>
      </c>
      <c r="Y165" s="150">
        <f t="shared" si="78"/>
        <v>0</v>
      </c>
      <c r="Z165" s="150">
        <f t="shared" si="79"/>
        <v>0</v>
      </c>
      <c r="AA165" s="150">
        <f t="shared" si="80"/>
        <v>0</v>
      </c>
      <c r="AB165" s="150">
        <f t="shared" si="122"/>
        <v>115000</v>
      </c>
      <c r="AC165" s="150">
        <f t="shared" si="81"/>
        <v>575</v>
      </c>
      <c r="AD165" s="150">
        <f t="shared" si="82"/>
        <v>0</v>
      </c>
      <c r="AE165" s="150">
        <f t="shared" si="83"/>
        <v>0</v>
      </c>
      <c r="AF165" s="150">
        <f t="shared" si="84"/>
        <v>115000</v>
      </c>
      <c r="AG165" s="150">
        <f t="shared" si="123"/>
        <v>0</v>
      </c>
      <c r="AH165" s="150">
        <f t="shared" si="85"/>
        <v>0</v>
      </c>
      <c r="AI165" s="150">
        <f t="shared" si="86"/>
        <v>0</v>
      </c>
      <c r="AJ165" s="150">
        <f t="shared" si="87"/>
        <v>0</v>
      </c>
      <c r="AK165" s="150">
        <f t="shared" si="88"/>
        <v>0</v>
      </c>
      <c r="AL165" s="150">
        <f t="shared" si="124"/>
        <v>0</v>
      </c>
      <c r="AM165" s="150">
        <f t="shared" si="89"/>
        <v>0</v>
      </c>
      <c r="AN165" s="150">
        <f t="shared" si="90"/>
        <v>0</v>
      </c>
      <c r="AO165" s="150">
        <f t="shared" si="91"/>
        <v>0</v>
      </c>
      <c r="AP165" s="150">
        <f t="shared" si="92"/>
        <v>0</v>
      </c>
      <c r="AQ165" s="149">
        <f t="shared" si="125"/>
        <v>750</v>
      </c>
      <c r="AR165" s="149">
        <f t="shared" si="126"/>
        <v>174366.3600000001</v>
      </c>
      <c r="AS165" s="133"/>
      <c r="AT165" s="152">
        <f t="shared" si="127"/>
        <v>113</v>
      </c>
      <c r="AU165" s="151">
        <f t="shared" si="93"/>
        <v>49095</v>
      </c>
      <c r="AV165" s="150">
        <f t="shared" si="128"/>
        <v>8119.4</v>
      </c>
      <c r="AW165" s="150">
        <f t="shared" si="94"/>
        <v>148.86000000000001</v>
      </c>
      <c r="AX165" s="150">
        <f t="shared" si="95"/>
        <v>71.139999999999986</v>
      </c>
      <c r="AY165" s="150">
        <f t="shared" si="96"/>
        <v>600</v>
      </c>
      <c r="AZ165" s="150">
        <f t="shared" si="97"/>
        <v>7448.26</v>
      </c>
      <c r="BA165" s="150">
        <f t="shared" si="129"/>
        <v>12850</v>
      </c>
      <c r="BB165" s="150">
        <f t="shared" si="98"/>
        <v>203.46</v>
      </c>
      <c r="BC165" s="150">
        <f t="shared" si="99"/>
        <v>0</v>
      </c>
      <c r="BD165" s="150">
        <f t="shared" si="100"/>
        <v>0</v>
      </c>
      <c r="BE165" s="150">
        <f t="shared" si="101"/>
        <v>12850</v>
      </c>
      <c r="BF165" s="150">
        <f t="shared" si="130"/>
        <v>0</v>
      </c>
      <c r="BG165" s="150">
        <f t="shared" si="102"/>
        <v>0</v>
      </c>
      <c r="BH165" s="150">
        <f t="shared" si="103"/>
        <v>0</v>
      </c>
      <c r="BI165" s="150">
        <f t="shared" si="104"/>
        <v>0</v>
      </c>
      <c r="BJ165" s="150">
        <f t="shared" si="105"/>
        <v>0</v>
      </c>
      <c r="BK165" s="150">
        <f t="shared" si="131"/>
        <v>115000</v>
      </c>
      <c r="BL165" s="150">
        <f t="shared" si="106"/>
        <v>575</v>
      </c>
      <c r="BM165" s="150">
        <f t="shared" si="107"/>
        <v>0</v>
      </c>
      <c r="BN165" s="150">
        <f t="shared" si="108"/>
        <v>0</v>
      </c>
      <c r="BO165" s="150">
        <f t="shared" si="109"/>
        <v>115000</v>
      </c>
      <c r="BP165" s="150">
        <f t="shared" si="132"/>
        <v>12000</v>
      </c>
      <c r="BQ165" s="150">
        <f t="shared" si="110"/>
        <v>50</v>
      </c>
      <c r="BR165" s="150">
        <f t="shared" si="111"/>
        <v>0</v>
      </c>
      <c r="BS165" s="150">
        <f t="shared" si="112"/>
        <v>0</v>
      </c>
      <c r="BT165" s="150">
        <f t="shared" si="113"/>
        <v>12000</v>
      </c>
      <c r="BU165" s="150">
        <f t="shared" si="133"/>
        <v>0</v>
      </c>
      <c r="BV165" s="150">
        <f t="shared" si="114"/>
        <v>0</v>
      </c>
      <c r="BW165" s="150">
        <f t="shared" si="115"/>
        <v>0</v>
      </c>
      <c r="BX165" s="150">
        <f t="shared" si="116"/>
        <v>0</v>
      </c>
      <c r="BY165" s="150">
        <f t="shared" si="117"/>
        <v>0</v>
      </c>
      <c r="BZ165" s="147">
        <f t="shared" si="134"/>
        <v>600</v>
      </c>
      <c r="CA165" s="147">
        <f t="shared" si="135"/>
        <v>164825.64000000013</v>
      </c>
    </row>
    <row r="166" spans="11:79">
      <c r="K166" s="132">
        <f t="shared" si="118"/>
        <v>114</v>
      </c>
      <c r="L166" s="148">
        <f t="shared" si="68"/>
        <v>49125</v>
      </c>
      <c r="M166" s="131">
        <f t="shared" si="119"/>
        <v>28250</v>
      </c>
      <c r="N166" s="131">
        <f t="shared" si="69"/>
        <v>517.91999999999996</v>
      </c>
      <c r="O166" s="131">
        <f t="shared" si="70"/>
        <v>0</v>
      </c>
      <c r="P166" s="131">
        <f t="shared" si="71"/>
        <v>750</v>
      </c>
      <c r="Q166" s="131">
        <f t="shared" si="72"/>
        <v>27500</v>
      </c>
      <c r="R166" s="131">
        <f t="shared" si="120"/>
        <v>0</v>
      </c>
      <c r="S166" s="131">
        <f t="shared" si="73"/>
        <v>0</v>
      </c>
      <c r="T166" s="131">
        <f t="shared" si="74"/>
        <v>0</v>
      </c>
      <c r="U166" s="131">
        <f t="shared" si="75"/>
        <v>0</v>
      </c>
      <c r="V166" s="131">
        <f t="shared" si="76"/>
        <v>0</v>
      </c>
      <c r="W166" s="131">
        <f t="shared" si="121"/>
        <v>0</v>
      </c>
      <c r="X166" s="131">
        <f t="shared" si="77"/>
        <v>0</v>
      </c>
      <c r="Y166" s="131">
        <f t="shared" si="78"/>
        <v>0</v>
      </c>
      <c r="Z166" s="131">
        <f t="shared" si="79"/>
        <v>0</v>
      </c>
      <c r="AA166" s="131">
        <f t="shared" si="80"/>
        <v>0</v>
      </c>
      <c r="AB166" s="131">
        <f t="shared" si="122"/>
        <v>115000</v>
      </c>
      <c r="AC166" s="131">
        <f t="shared" si="81"/>
        <v>575</v>
      </c>
      <c r="AD166" s="131">
        <f t="shared" si="82"/>
        <v>0</v>
      </c>
      <c r="AE166" s="131">
        <f t="shared" si="83"/>
        <v>0</v>
      </c>
      <c r="AF166" s="131">
        <f t="shared" si="84"/>
        <v>115000</v>
      </c>
      <c r="AG166" s="131">
        <f t="shared" si="123"/>
        <v>0</v>
      </c>
      <c r="AH166" s="131">
        <f t="shared" si="85"/>
        <v>0</v>
      </c>
      <c r="AI166" s="131">
        <f t="shared" si="86"/>
        <v>0</v>
      </c>
      <c r="AJ166" s="131">
        <f t="shared" si="87"/>
        <v>0</v>
      </c>
      <c r="AK166" s="131">
        <f t="shared" si="88"/>
        <v>0</v>
      </c>
      <c r="AL166" s="131">
        <f t="shared" si="124"/>
        <v>0</v>
      </c>
      <c r="AM166" s="131">
        <f t="shared" si="89"/>
        <v>0</v>
      </c>
      <c r="AN166" s="131">
        <f t="shared" si="90"/>
        <v>0</v>
      </c>
      <c r="AO166" s="131">
        <f t="shared" si="91"/>
        <v>0</v>
      </c>
      <c r="AP166" s="131">
        <f t="shared" si="92"/>
        <v>0</v>
      </c>
      <c r="AQ166" s="149">
        <f t="shared" si="125"/>
        <v>750</v>
      </c>
      <c r="AR166" s="149">
        <f t="shared" si="126"/>
        <v>175459.28000000012</v>
      </c>
      <c r="AS166" s="133"/>
      <c r="AT166" s="132">
        <f t="shared" si="127"/>
        <v>114</v>
      </c>
      <c r="AU166" s="148">
        <f t="shared" si="93"/>
        <v>49125</v>
      </c>
      <c r="AV166" s="131">
        <f t="shared" si="128"/>
        <v>7448.26</v>
      </c>
      <c r="AW166" s="131">
        <f t="shared" si="94"/>
        <v>136.55000000000001</v>
      </c>
      <c r="AX166" s="131">
        <f t="shared" si="95"/>
        <v>83.449999999999989</v>
      </c>
      <c r="AY166" s="131">
        <f t="shared" si="96"/>
        <v>600</v>
      </c>
      <c r="AZ166" s="131">
        <f t="shared" si="97"/>
        <v>6764.81</v>
      </c>
      <c r="BA166" s="131">
        <f t="shared" si="129"/>
        <v>12850</v>
      </c>
      <c r="BB166" s="131">
        <f t="shared" si="98"/>
        <v>203.46</v>
      </c>
      <c r="BC166" s="131">
        <f t="shared" si="99"/>
        <v>0</v>
      </c>
      <c r="BD166" s="131">
        <f t="shared" si="100"/>
        <v>0</v>
      </c>
      <c r="BE166" s="131">
        <f t="shared" si="101"/>
        <v>12850</v>
      </c>
      <c r="BF166" s="131">
        <f t="shared" si="130"/>
        <v>0</v>
      </c>
      <c r="BG166" s="131">
        <f t="shared" si="102"/>
        <v>0</v>
      </c>
      <c r="BH166" s="131">
        <f t="shared" si="103"/>
        <v>0</v>
      </c>
      <c r="BI166" s="131">
        <f t="shared" si="104"/>
        <v>0</v>
      </c>
      <c r="BJ166" s="131">
        <f t="shared" si="105"/>
        <v>0</v>
      </c>
      <c r="BK166" s="131">
        <f t="shared" si="131"/>
        <v>115000</v>
      </c>
      <c r="BL166" s="131">
        <f t="shared" si="106"/>
        <v>575</v>
      </c>
      <c r="BM166" s="131">
        <f t="shared" si="107"/>
        <v>0</v>
      </c>
      <c r="BN166" s="131">
        <f t="shared" si="108"/>
        <v>0</v>
      </c>
      <c r="BO166" s="131">
        <f t="shared" si="109"/>
        <v>115000</v>
      </c>
      <c r="BP166" s="131">
        <f t="shared" si="132"/>
        <v>12000</v>
      </c>
      <c r="BQ166" s="131">
        <f t="shared" si="110"/>
        <v>50</v>
      </c>
      <c r="BR166" s="131">
        <f t="shared" si="111"/>
        <v>0</v>
      </c>
      <c r="BS166" s="131">
        <f t="shared" si="112"/>
        <v>0</v>
      </c>
      <c r="BT166" s="131">
        <f t="shared" si="113"/>
        <v>12000</v>
      </c>
      <c r="BU166" s="131">
        <f t="shared" si="133"/>
        <v>0</v>
      </c>
      <c r="BV166" s="131">
        <f t="shared" si="114"/>
        <v>0</v>
      </c>
      <c r="BW166" s="131">
        <f t="shared" si="115"/>
        <v>0</v>
      </c>
      <c r="BX166" s="131">
        <f t="shared" si="116"/>
        <v>0</v>
      </c>
      <c r="BY166" s="131">
        <f t="shared" si="117"/>
        <v>0</v>
      </c>
      <c r="BZ166" s="147">
        <f t="shared" si="134"/>
        <v>600</v>
      </c>
      <c r="CA166" s="147">
        <f t="shared" si="135"/>
        <v>165790.65000000014</v>
      </c>
    </row>
    <row r="167" spans="11:79">
      <c r="K167" s="152">
        <f t="shared" si="118"/>
        <v>115</v>
      </c>
      <c r="L167" s="151">
        <f t="shared" si="68"/>
        <v>49156</v>
      </c>
      <c r="M167" s="150">
        <f t="shared" si="119"/>
        <v>27500</v>
      </c>
      <c r="N167" s="150">
        <f t="shared" si="69"/>
        <v>504.17</v>
      </c>
      <c r="O167" s="150">
        <f t="shared" si="70"/>
        <v>0</v>
      </c>
      <c r="P167" s="150">
        <f t="shared" si="71"/>
        <v>750</v>
      </c>
      <c r="Q167" s="150">
        <f t="shared" si="72"/>
        <v>26750</v>
      </c>
      <c r="R167" s="150">
        <f t="shared" si="120"/>
        <v>0</v>
      </c>
      <c r="S167" s="150">
        <f t="shared" si="73"/>
        <v>0</v>
      </c>
      <c r="T167" s="150">
        <f t="shared" si="74"/>
        <v>0</v>
      </c>
      <c r="U167" s="150">
        <f t="shared" si="75"/>
        <v>0</v>
      </c>
      <c r="V167" s="150">
        <f t="shared" si="76"/>
        <v>0</v>
      </c>
      <c r="W167" s="150">
        <f t="shared" si="121"/>
        <v>0</v>
      </c>
      <c r="X167" s="150">
        <f t="shared" si="77"/>
        <v>0</v>
      </c>
      <c r="Y167" s="150">
        <f t="shared" si="78"/>
        <v>0</v>
      </c>
      <c r="Z167" s="150">
        <f t="shared" si="79"/>
        <v>0</v>
      </c>
      <c r="AA167" s="150">
        <f t="shared" si="80"/>
        <v>0</v>
      </c>
      <c r="AB167" s="150">
        <f t="shared" si="122"/>
        <v>115000</v>
      </c>
      <c r="AC167" s="150">
        <f t="shared" si="81"/>
        <v>575</v>
      </c>
      <c r="AD167" s="150">
        <f t="shared" si="82"/>
        <v>0</v>
      </c>
      <c r="AE167" s="150">
        <f t="shared" si="83"/>
        <v>0</v>
      </c>
      <c r="AF167" s="150">
        <f t="shared" si="84"/>
        <v>115000</v>
      </c>
      <c r="AG167" s="150">
        <f t="shared" si="123"/>
        <v>0</v>
      </c>
      <c r="AH167" s="150">
        <f t="shared" si="85"/>
        <v>0</v>
      </c>
      <c r="AI167" s="150">
        <f t="shared" si="86"/>
        <v>0</v>
      </c>
      <c r="AJ167" s="150">
        <f t="shared" si="87"/>
        <v>0</v>
      </c>
      <c r="AK167" s="150">
        <f t="shared" si="88"/>
        <v>0</v>
      </c>
      <c r="AL167" s="150">
        <f t="shared" si="124"/>
        <v>0</v>
      </c>
      <c r="AM167" s="150">
        <f t="shared" si="89"/>
        <v>0</v>
      </c>
      <c r="AN167" s="150">
        <f t="shared" si="90"/>
        <v>0</v>
      </c>
      <c r="AO167" s="150">
        <f t="shared" si="91"/>
        <v>0</v>
      </c>
      <c r="AP167" s="150">
        <f t="shared" si="92"/>
        <v>0</v>
      </c>
      <c r="AQ167" s="149">
        <f t="shared" si="125"/>
        <v>750</v>
      </c>
      <c r="AR167" s="149">
        <f t="shared" si="126"/>
        <v>176538.45000000013</v>
      </c>
      <c r="AS167" s="133"/>
      <c r="AT167" s="152">
        <f t="shared" si="127"/>
        <v>115</v>
      </c>
      <c r="AU167" s="151">
        <f t="shared" si="93"/>
        <v>49156</v>
      </c>
      <c r="AV167" s="150">
        <f t="shared" si="128"/>
        <v>6764.81</v>
      </c>
      <c r="AW167" s="150">
        <f t="shared" si="94"/>
        <v>124.02</v>
      </c>
      <c r="AX167" s="150">
        <f t="shared" si="95"/>
        <v>95.98</v>
      </c>
      <c r="AY167" s="150">
        <f t="shared" si="96"/>
        <v>600</v>
      </c>
      <c r="AZ167" s="150">
        <f t="shared" si="97"/>
        <v>6068.83</v>
      </c>
      <c r="BA167" s="150">
        <f t="shared" si="129"/>
        <v>12850</v>
      </c>
      <c r="BB167" s="150">
        <f t="shared" si="98"/>
        <v>203.46</v>
      </c>
      <c r="BC167" s="150">
        <f t="shared" si="99"/>
        <v>0</v>
      </c>
      <c r="BD167" s="150">
        <f t="shared" si="100"/>
        <v>0</v>
      </c>
      <c r="BE167" s="150">
        <f t="shared" si="101"/>
        <v>12850</v>
      </c>
      <c r="BF167" s="150">
        <f t="shared" si="130"/>
        <v>0</v>
      </c>
      <c r="BG167" s="150">
        <f t="shared" si="102"/>
        <v>0</v>
      </c>
      <c r="BH167" s="150">
        <f t="shared" si="103"/>
        <v>0</v>
      </c>
      <c r="BI167" s="150">
        <f t="shared" si="104"/>
        <v>0</v>
      </c>
      <c r="BJ167" s="150">
        <f t="shared" si="105"/>
        <v>0</v>
      </c>
      <c r="BK167" s="150">
        <f t="shared" si="131"/>
        <v>115000</v>
      </c>
      <c r="BL167" s="150">
        <f t="shared" si="106"/>
        <v>575</v>
      </c>
      <c r="BM167" s="150">
        <f t="shared" si="107"/>
        <v>0</v>
      </c>
      <c r="BN167" s="150">
        <f t="shared" si="108"/>
        <v>0</v>
      </c>
      <c r="BO167" s="150">
        <f t="shared" si="109"/>
        <v>115000</v>
      </c>
      <c r="BP167" s="150">
        <f t="shared" si="132"/>
        <v>12000</v>
      </c>
      <c r="BQ167" s="150">
        <f t="shared" si="110"/>
        <v>50</v>
      </c>
      <c r="BR167" s="150">
        <f t="shared" si="111"/>
        <v>0</v>
      </c>
      <c r="BS167" s="150">
        <f t="shared" si="112"/>
        <v>0</v>
      </c>
      <c r="BT167" s="150">
        <f t="shared" si="113"/>
        <v>12000</v>
      </c>
      <c r="BU167" s="150">
        <f t="shared" si="133"/>
        <v>0</v>
      </c>
      <c r="BV167" s="150">
        <f t="shared" si="114"/>
        <v>0</v>
      </c>
      <c r="BW167" s="150">
        <f t="shared" si="115"/>
        <v>0</v>
      </c>
      <c r="BX167" s="150">
        <f t="shared" si="116"/>
        <v>0</v>
      </c>
      <c r="BY167" s="150">
        <f t="shared" si="117"/>
        <v>0</v>
      </c>
      <c r="BZ167" s="147">
        <f t="shared" si="134"/>
        <v>600</v>
      </c>
      <c r="CA167" s="147">
        <f t="shared" si="135"/>
        <v>166743.13000000015</v>
      </c>
    </row>
    <row r="168" spans="11:79">
      <c r="K168" s="132">
        <f t="shared" si="118"/>
        <v>116</v>
      </c>
      <c r="L168" s="148">
        <f t="shared" si="68"/>
        <v>49187</v>
      </c>
      <c r="M168" s="131">
        <f t="shared" si="119"/>
        <v>26750</v>
      </c>
      <c r="N168" s="131">
        <f t="shared" si="69"/>
        <v>490.42</v>
      </c>
      <c r="O168" s="131">
        <f t="shared" si="70"/>
        <v>0</v>
      </c>
      <c r="P168" s="131">
        <f t="shared" si="71"/>
        <v>750</v>
      </c>
      <c r="Q168" s="131">
        <f t="shared" si="72"/>
        <v>26000</v>
      </c>
      <c r="R168" s="131">
        <f t="shared" si="120"/>
        <v>0</v>
      </c>
      <c r="S168" s="131">
        <f t="shared" si="73"/>
        <v>0</v>
      </c>
      <c r="T168" s="131">
        <f t="shared" si="74"/>
        <v>0</v>
      </c>
      <c r="U168" s="131">
        <f t="shared" si="75"/>
        <v>0</v>
      </c>
      <c r="V168" s="131">
        <f t="shared" si="76"/>
        <v>0</v>
      </c>
      <c r="W168" s="131">
        <f t="shared" si="121"/>
        <v>0</v>
      </c>
      <c r="X168" s="131">
        <f t="shared" si="77"/>
        <v>0</v>
      </c>
      <c r="Y168" s="131">
        <f t="shared" si="78"/>
        <v>0</v>
      </c>
      <c r="Z168" s="131">
        <f t="shared" si="79"/>
        <v>0</v>
      </c>
      <c r="AA168" s="131">
        <f t="shared" si="80"/>
        <v>0</v>
      </c>
      <c r="AB168" s="131">
        <f t="shared" si="122"/>
        <v>115000</v>
      </c>
      <c r="AC168" s="131">
        <f t="shared" si="81"/>
        <v>575</v>
      </c>
      <c r="AD168" s="131">
        <f t="shared" si="82"/>
        <v>0</v>
      </c>
      <c r="AE168" s="131">
        <f t="shared" si="83"/>
        <v>0</v>
      </c>
      <c r="AF168" s="131">
        <f t="shared" si="84"/>
        <v>115000</v>
      </c>
      <c r="AG168" s="131">
        <f t="shared" si="123"/>
        <v>0</v>
      </c>
      <c r="AH168" s="131">
        <f t="shared" si="85"/>
        <v>0</v>
      </c>
      <c r="AI168" s="131">
        <f t="shared" si="86"/>
        <v>0</v>
      </c>
      <c r="AJ168" s="131">
        <f t="shared" si="87"/>
        <v>0</v>
      </c>
      <c r="AK168" s="131">
        <f t="shared" si="88"/>
        <v>0</v>
      </c>
      <c r="AL168" s="131">
        <f t="shared" si="124"/>
        <v>0</v>
      </c>
      <c r="AM168" s="131">
        <f t="shared" si="89"/>
        <v>0</v>
      </c>
      <c r="AN168" s="131">
        <f t="shared" si="90"/>
        <v>0</v>
      </c>
      <c r="AO168" s="131">
        <f t="shared" si="91"/>
        <v>0</v>
      </c>
      <c r="AP168" s="131">
        <f t="shared" si="92"/>
        <v>0</v>
      </c>
      <c r="AQ168" s="149">
        <f t="shared" si="125"/>
        <v>750</v>
      </c>
      <c r="AR168" s="149">
        <f t="shared" si="126"/>
        <v>177603.87000000014</v>
      </c>
      <c r="AS168" s="133"/>
      <c r="AT168" s="132">
        <f t="shared" si="127"/>
        <v>116</v>
      </c>
      <c r="AU168" s="148">
        <f t="shared" si="93"/>
        <v>49187</v>
      </c>
      <c r="AV168" s="131">
        <f t="shared" si="128"/>
        <v>6068.83</v>
      </c>
      <c r="AW168" s="131">
        <f t="shared" si="94"/>
        <v>111.26</v>
      </c>
      <c r="AX168" s="131">
        <f t="shared" si="95"/>
        <v>108.74</v>
      </c>
      <c r="AY168" s="131">
        <f t="shared" si="96"/>
        <v>600</v>
      </c>
      <c r="AZ168" s="131">
        <f t="shared" si="97"/>
        <v>5360.09</v>
      </c>
      <c r="BA168" s="131">
        <f t="shared" si="129"/>
        <v>12850</v>
      </c>
      <c r="BB168" s="131">
        <f t="shared" si="98"/>
        <v>203.46</v>
      </c>
      <c r="BC168" s="131">
        <f t="shared" si="99"/>
        <v>0</v>
      </c>
      <c r="BD168" s="131">
        <f t="shared" si="100"/>
        <v>0</v>
      </c>
      <c r="BE168" s="131">
        <f t="shared" si="101"/>
        <v>12850</v>
      </c>
      <c r="BF168" s="131">
        <f t="shared" si="130"/>
        <v>0</v>
      </c>
      <c r="BG168" s="131">
        <f t="shared" si="102"/>
        <v>0</v>
      </c>
      <c r="BH168" s="131">
        <f t="shared" si="103"/>
        <v>0</v>
      </c>
      <c r="BI168" s="131">
        <f t="shared" si="104"/>
        <v>0</v>
      </c>
      <c r="BJ168" s="131">
        <f t="shared" si="105"/>
        <v>0</v>
      </c>
      <c r="BK168" s="131">
        <f t="shared" si="131"/>
        <v>115000</v>
      </c>
      <c r="BL168" s="131">
        <f t="shared" si="106"/>
        <v>575</v>
      </c>
      <c r="BM168" s="131">
        <f t="shared" si="107"/>
        <v>0</v>
      </c>
      <c r="BN168" s="131">
        <f t="shared" si="108"/>
        <v>0</v>
      </c>
      <c r="BO168" s="131">
        <f t="shared" si="109"/>
        <v>115000</v>
      </c>
      <c r="BP168" s="131">
        <f t="shared" si="132"/>
        <v>12000</v>
      </c>
      <c r="BQ168" s="131">
        <f t="shared" si="110"/>
        <v>50</v>
      </c>
      <c r="BR168" s="131">
        <f t="shared" si="111"/>
        <v>0</v>
      </c>
      <c r="BS168" s="131">
        <f t="shared" si="112"/>
        <v>0</v>
      </c>
      <c r="BT168" s="131">
        <f t="shared" si="113"/>
        <v>12000</v>
      </c>
      <c r="BU168" s="131">
        <f t="shared" si="133"/>
        <v>0</v>
      </c>
      <c r="BV168" s="131">
        <f t="shared" si="114"/>
        <v>0</v>
      </c>
      <c r="BW168" s="131">
        <f t="shared" si="115"/>
        <v>0</v>
      </c>
      <c r="BX168" s="131">
        <f t="shared" si="116"/>
        <v>0</v>
      </c>
      <c r="BY168" s="131">
        <f t="shared" si="117"/>
        <v>0</v>
      </c>
      <c r="BZ168" s="147">
        <f t="shared" si="134"/>
        <v>600</v>
      </c>
      <c r="CA168" s="147">
        <f t="shared" si="135"/>
        <v>167682.85000000015</v>
      </c>
    </row>
    <row r="169" spans="11:79">
      <c r="K169" s="152">
        <f t="shared" si="118"/>
        <v>117</v>
      </c>
      <c r="L169" s="151">
        <f t="shared" si="68"/>
        <v>49217</v>
      </c>
      <c r="M169" s="150">
        <f t="shared" si="119"/>
        <v>26000</v>
      </c>
      <c r="N169" s="150">
        <f t="shared" si="69"/>
        <v>476.67</v>
      </c>
      <c r="O169" s="150">
        <f t="shared" si="70"/>
        <v>0</v>
      </c>
      <c r="P169" s="150">
        <f t="shared" si="71"/>
        <v>750</v>
      </c>
      <c r="Q169" s="150">
        <f t="shared" si="72"/>
        <v>25250</v>
      </c>
      <c r="R169" s="150">
        <f t="shared" si="120"/>
        <v>0</v>
      </c>
      <c r="S169" s="150">
        <f t="shared" si="73"/>
        <v>0</v>
      </c>
      <c r="T169" s="150">
        <f t="shared" si="74"/>
        <v>0</v>
      </c>
      <c r="U169" s="150">
        <f t="shared" si="75"/>
        <v>0</v>
      </c>
      <c r="V169" s="150">
        <f t="shared" si="76"/>
        <v>0</v>
      </c>
      <c r="W169" s="150">
        <f t="shared" si="121"/>
        <v>0</v>
      </c>
      <c r="X169" s="150">
        <f t="shared" si="77"/>
        <v>0</v>
      </c>
      <c r="Y169" s="150">
        <f t="shared" si="78"/>
        <v>0</v>
      </c>
      <c r="Z169" s="150">
        <f t="shared" si="79"/>
        <v>0</v>
      </c>
      <c r="AA169" s="150">
        <f t="shared" si="80"/>
        <v>0</v>
      </c>
      <c r="AB169" s="150">
        <f t="shared" si="122"/>
        <v>115000</v>
      </c>
      <c r="AC169" s="150">
        <f t="shared" si="81"/>
        <v>575</v>
      </c>
      <c r="AD169" s="150">
        <f t="shared" si="82"/>
        <v>0</v>
      </c>
      <c r="AE169" s="150">
        <f t="shared" si="83"/>
        <v>0</v>
      </c>
      <c r="AF169" s="150">
        <f t="shared" si="84"/>
        <v>115000</v>
      </c>
      <c r="AG169" s="150">
        <f t="shared" si="123"/>
        <v>0</v>
      </c>
      <c r="AH169" s="150">
        <f t="shared" si="85"/>
        <v>0</v>
      </c>
      <c r="AI169" s="150">
        <f t="shared" si="86"/>
        <v>0</v>
      </c>
      <c r="AJ169" s="150">
        <f t="shared" si="87"/>
        <v>0</v>
      </c>
      <c r="AK169" s="150">
        <f t="shared" si="88"/>
        <v>0</v>
      </c>
      <c r="AL169" s="150">
        <f t="shared" si="124"/>
        <v>0</v>
      </c>
      <c r="AM169" s="150">
        <f t="shared" si="89"/>
        <v>0</v>
      </c>
      <c r="AN169" s="150">
        <f t="shared" si="90"/>
        <v>0</v>
      </c>
      <c r="AO169" s="150">
        <f t="shared" si="91"/>
        <v>0</v>
      </c>
      <c r="AP169" s="150">
        <f t="shared" si="92"/>
        <v>0</v>
      </c>
      <c r="AQ169" s="149">
        <f t="shared" si="125"/>
        <v>750</v>
      </c>
      <c r="AR169" s="149">
        <f t="shared" si="126"/>
        <v>178655.54000000015</v>
      </c>
      <c r="AS169" s="133"/>
      <c r="AT169" s="152">
        <f t="shared" si="127"/>
        <v>117</v>
      </c>
      <c r="AU169" s="151">
        <f t="shared" si="93"/>
        <v>49217</v>
      </c>
      <c r="AV169" s="150">
        <f t="shared" si="128"/>
        <v>5360.09</v>
      </c>
      <c r="AW169" s="150">
        <f t="shared" si="94"/>
        <v>98.27</v>
      </c>
      <c r="AX169" s="150">
        <f t="shared" si="95"/>
        <v>121.73</v>
      </c>
      <c r="AY169" s="150">
        <f t="shared" si="96"/>
        <v>600</v>
      </c>
      <c r="AZ169" s="150">
        <f t="shared" si="97"/>
        <v>4638.3599999999997</v>
      </c>
      <c r="BA169" s="150">
        <f t="shared" si="129"/>
        <v>12850</v>
      </c>
      <c r="BB169" s="150">
        <f t="shared" si="98"/>
        <v>203.46</v>
      </c>
      <c r="BC169" s="150">
        <f t="shared" si="99"/>
        <v>0</v>
      </c>
      <c r="BD169" s="150">
        <f t="shared" si="100"/>
        <v>0</v>
      </c>
      <c r="BE169" s="150">
        <f t="shared" si="101"/>
        <v>12850</v>
      </c>
      <c r="BF169" s="150">
        <f t="shared" si="130"/>
        <v>0</v>
      </c>
      <c r="BG169" s="150">
        <f t="shared" si="102"/>
        <v>0</v>
      </c>
      <c r="BH169" s="150">
        <f t="shared" si="103"/>
        <v>0</v>
      </c>
      <c r="BI169" s="150">
        <f t="shared" si="104"/>
        <v>0</v>
      </c>
      <c r="BJ169" s="150">
        <f t="shared" si="105"/>
        <v>0</v>
      </c>
      <c r="BK169" s="150">
        <f t="shared" si="131"/>
        <v>115000</v>
      </c>
      <c r="BL169" s="150">
        <f t="shared" si="106"/>
        <v>575</v>
      </c>
      <c r="BM169" s="150">
        <f t="shared" si="107"/>
        <v>0</v>
      </c>
      <c r="BN169" s="150">
        <f t="shared" si="108"/>
        <v>0</v>
      </c>
      <c r="BO169" s="150">
        <f t="shared" si="109"/>
        <v>115000</v>
      </c>
      <c r="BP169" s="150">
        <f t="shared" si="132"/>
        <v>12000</v>
      </c>
      <c r="BQ169" s="150">
        <f t="shared" si="110"/>
        <v>50</v>
      </c>
      <c r="BR169" s="150">
        <f t="shared" si="111"/>
        <v>0</v>
      </c>
      <c r="BS169" s="150">
        <f t="shared" si="112"/>
        <v>0</v>
      </c>
      <c r="BT169" s="150">
        <f t="shared" si="113"/>
        <v>12000</v>
      </c>
      <c r="BU169" s="150">
        <f t="shared" si="133"/>
        <v>0</v>
      </c>
      <c r="BV169" s="150">
        <f t="shared" si="114"/>
        <v>0</v>
      </c>
      <c r="BW169" s="150">
        <f t="shared" si="115"/>
        <v>0</v>
      </c>
      <c r="BX169" s="150">
        <f t="shared" si="116"/>
        <v>0</v>
      </c>
      <c r="BY169" s="150">
        <f t="shared" si="117"/>
        <v>0</v>
      </c>
      <c r="BZ169" s="147">
        <f t="shared" si="134"/>
        <v>600</v>
      </c>
      <c r="CA169" s="147">
        <f t="shared" si="135"/>
        <v>168609.58000000016</v>
      </c>
    </row>
    <row r="170" spans="11:79">
      <c r="K170" s="132">
        <f t="shared" si="118"/>
        <v>118</v>
      </c>
      <c r="L170" s="148">
        <f t="shared" si="68"/>
        <v>49248</v>
      </c>
      <c r="M170" s="131">
        <f t="shared" si="119"/>
        <v>25250</v>
      </c>
      <c r="N170" s="131">
        <f t="shared" si="69"/>
        <v>462.92</v>
      </c>
      <c r="O170" s="131">
        <f t="shared" si="70"/>
        <v>0</v>
      </c>
      <c r="P170" s="131">
        <f t="shared" si="71"/>
        <v>750</v>
      </c>
      <c r="Q170" s="131">
        <f t="shared" si="72"/>
        <v>24500</v>
      </c>
      <c r="R170" s="131">
        <f t="shared" si="120"/>
        <v>0</v>
      </c>
      <c r="S170" s="131">
        <f t="shared" si="73"/>
        <v>0</v>
      </c>
      <c r="T170" s="131">
        <f t="shared" si="74"/>
        <v>0</v>
      </c>
      <c r="U170" s="131">
        <f t="shared" si="75"/>
        <v>0</v>
      </c>
      <c r="V170" s="131">
        <f t="shared" si="76"/>
        <v>0</v>
      </c>
      <c r="W170" s="131">
        <f t="shared" si="121"/>
        <v>0</v>
      </c>
      <c r="X170" s="131">
        <f t="shared" si="77"/>
        <v>0</v>
      </c>
      <c r="Y170" s="131">
        <f t="shared" si="78"/>
        <v>0</v>
      </c>
      <c r="Z170" s="131">
        <f t="shared" si="79"/>
        <v>0</v>
      </c>
      <c r="AA170" s="131">
        <f t="shared" si="80"/>
        <v>0</v>
      </c>
      <c r="AB170" s="131">
        <f t="shared" si="122"/>
        <v>115000</v>
      </c>
      <c r="AC170" s="131">
        <f t="shared" si="81"/>
        <v>575</v>
      </c>
      <c r="AD170" s="131">
        <f t="shared" si="82"/>
        <v>0</v>
      </c>
      <c r="AE170" s="131">
        <f t="shared" si="83"/>
        <v>0</v>
      </c>
      <c r="AF170" s="131">
        <f t="shared" si="84"/>
        <v>115000</v>
      </c>
      <c r="AG170" s="131">
        <f t="shared" si="123"/>
        <v>0</v>
      </c>
      <c r="AH170" s="131">
        <f t="shared" si="85"/>
        <v>0</v>
      </c>
      <c r="AI170" s="131">
        <f t="shared" si="86"/>
        <v>0</v>
      </c>
      <c r="AJ170" s="131">
        <f t="shared" si="87"/>
        <v>0</v>
      </c>
      <c r="AK170" s="131">
        <f t="shared" si="88"/>
        <v>0</v>
      </c>
      <c r="AL170" s="131">
        <f t="shared" si="124"/>
        <v>0</v>
      </c>
      <c r="AM170" s="131">
        <f t="shared" si="89"/>
        <v>0</v>
      </c>
      <c r="AN170" s="131">
        <f t="shared" si="90"/>
        <v>0</v>
      </c>
      <c r="AO170" s="131">
        <f t="shared" si="91"/>
        <v>0</v>
      </c>
      <c r="AP170" s="131">
        <f t="shared" si="92"/>
        <v>0</v>
      </c>
      <c r="AQ170" s="149">
        <f t="shared" si="125"/>
        <v>750</v>
      </c>
      <c r="AR170" s="149">
        <f t="shared" si="126"/>
        <v>179693.46000000017</v>
      </c>
      <c r="AS170" s="133"/>
      <c r="AT170" s="132">
        <f t="shared" si="127"/>
        <v>118</v>
      </c>
      <c r="AU170" s="148">
        <f t="shared" si="93"/>
        <v>49248</v>
      </c>
      <c r="AV170" s="131">
        <f t="shared" si="128"/>
        <v>4638.3599999999997</v>
      </c>
      <c r="AW170" s="131">
        <f t="shared" si="94"/>
        <v>85.04</v>
      </c>
      <c r="AX170" s="131">
        <f t="shared" si="95"/>
        <v>134.95999999999998</v>
      </c>
      <c r="AY170" s="131">
        <f t="shared" si="96"/>
        <v>600</v>
      </c>
      <c r="AZ170" s="131">
        <f t="shared" si="97"/>
        <v>3903.4</v>
      </c>
      <c r="BA170" s="131">
        <f t="shared" si="129"/>
        <v>12850</v>
      </c>
      <c r="BB170" s="131">
        <f t="shared" si="98"/>
        <v>203.46</v>
      </c>
      <c r="BC170" s="131">
        <f t="shared" si="99"/>
        <v>0</v>
      </c>
      <c r="BD170" s="131">
        <f t="shared" si="100"/>
        <v>0</v>
      </c>
      <c r="BE170" s="131">
        <f t="shared" si="101"/>
        <v>12850</v>
      </c>
      <c r="BF170" s="131">
        <f t="shared" si="130"/>
        <v>0</v>
      </c>
      <c r="BG170" s="131">
        <f t="shared" si="102"/>
        <v>0</v>
      </c>
      <c r="BH170" s="131">
        <f t="shared" si="103"/>
        <v>0</v>
      </c>
      <c r="BI170" s="131">
        <f t="shared" si="104"/>
        <v>0</v>
      </c>
      <c r="BJ170" s="131">
        <f t="shared" si="105"/>
        <v>0</v>
      </c>
      <c r="BK170" s="131">
        <f t="shared" si="131"/>
        <v>115000</v>
      </c>
      <c r="BL170" s="131">
        <f t="shared" si="106"/>
        <v>575</v>
      </c>
      <c r="BM170" s="131">
        <f t="shared" si="107"/>
        <v>0</v>
      </c>
      <c r="BN170" s="131">
        <f t="shared" si="108"/>
        <v>0</v>
      </c>
      <c r="BO170" s="131">
        <f t="shared" si="109"/>
        <v>115000</v>
      </c>
      <c r="BP170" s="131">
        <f t="shared" si="132"/>
        <v>12000</v>
      </c>
      <c r="BQ170" s="131">
        <f t="shared" si="110"/>
        <v>50</v>
      </c>
      <c r="BR170" s="131">
        <f t="shared" si="111"/>
        <v>0</v>
      </c>
      <c r="BS170" s="131">
        <f t="shared" si="112"/>
        <v>0</v>
      </c>
      <c r="BT170" s="131">
        <f t="shared" si="113"/>
        <v>12000</v>
      </c>
      <c r="BU170" s="131">
        <f t="shared" si="133"/>
        <v>0</v>
      </c>
      <c r="BV170" s="131">
        <f t="shared" si="114"/>
        <v>0</v>
      </c>
      <c r="BW170" s="131">
        <f t="shared" si="115"/>
        <v>0</v>
      </c>
      <c r="BX170" s="131">
        <f t="shared" si="116"/>
        <v>0</v>
      </c>
      <c r="BY170" s="131">
        <f t="shared" si="117"/>
        <v>0</v>
      </c>
      <c r="BZ170" s="147">
        <f t="shared" si="134"/>
        <v>600</v>
      </c>
      <c r="CA170" s="147">
        <f t="shared" si="135"/>
        <v>169523.08000000016</v>
      </c>
    </row>
    <row r="171" spans="11:79">
      <c r="K171" s="152">
        <f t="shared" si="118"/>
        <v>119</v>
      </c>
      <c r="L171" s="151">
        <f t="shared" si="68"/>
        <v>49278</v>
      </c>
      <c r="M171" s="150">
        <f t="shared" si="119"/>
        <v>24500</v>
      </c>
      <c r="N171" s="150">
        <f t="shared" si="69"/>
        <v>449.17</v>
      </c>
      <c r="O171" s="150">
        <f t="shared" si="70"/>
        <v>0</v>
      </c>
      <c r="P171" s="150">
        <f t="shared" si="71"/>
        <v>750</v>
      </c>
      <c r="Q171" s="150">
        <f t="shared" si="72"/>
        <v>23750</v>
      </c>
      <c r="R171" s="150">
        <f t="shared" si="120"/>
        <v>0</v>
      </c>
      <c r="S171" s="150">
        <f t="shared" si="73"/>
        <v>0</v>
      </c>
      <c r="T171" s="150">
        <f t="shared" si="74"/>
        <v>0</v>
      </c>
      <c r="U171" s="150">
        <f t="shared" si="75"/>
        <v>0</v>
      </c>
      <c r="V171" s="150">
        <f t="shared" si="76"/>
        <v>0</v>
      </c>
      <c r="W171" s="150">
        <f t="shared" si="121"/>
        <v>0</v>
      </c>
      <c r="X171" s="150">
        <f t="shared" si="77"/>
        <v>0</v>
      </c>
      <c r="Y171" s="150">
        <f t="shared" si="78"/>
        <v>0</v>
      </c>
      <c r="Z171" s="150">
        <f t="shared" si="79"/>
        <v>0</v>
      </c>
      <c r="AA171" s="150">
        <f t="shared" si="80"/>
        <v>0</v>
      </c>
      <c r="AB171" s="150">
        <f t="shared" si="122"/>
        <v>115000</v>
      </c>
      <c r="AC171" s="150">
        <f t="shared" si="81"/>
        <v>575</v>
      </c>
      <c r="AD171" s="150">
        <f t="shared" si="82"/>
        <v>0</v>
      </c>
      <c r="AE171" s="150">
        <f t="shared" si="83"/>
        <v>0</v>
      </c>
      <c r="AF171" s="150">
        <f t="shared" si="84"/>
        <v>115000</v>
      </c>
      <c r="AG171" s="150">
        <f t="shared" si="123"/>
        <v>0</v>
      </c>
      <c r="AH171" s="150">
        <f t="shared" si="85"/>
        <v>0</v>
      </c>
      <c r="AI171" s="150">
        <f t="shared" si="86"/>
        <v>0</v>
      </c>
      <c r="AJ171" s="150">
        <f t="shared" si="87"/>
        <v>0</v>
      </c>
      <c r="AK171" s="150">
        <f t="shared" si="88"/>
        <v>0</v>
      </c>
      <c r="AL171" s="150">
        <f t="shared" si="124"/>
        <v>0</v>
      </c>
      <c r="AM171" s="150">
        <f t="shared" si="89"/>
        <v>0</v>
      </c>
      <c r="AN171" s="150">
        <f t="shared" si="90"/>
        <v>0</v>
      </c>
      <c r="AO171" s="150">
        <f t="shared" si="91"/>
        <v>0</v>
      </c>
      <c r="AP171" s="150">
        <f t="shared" si="92"/>
        <v>0</v>
      </c>
      <c r="AQ171" s="149">
        <f t="shared" si="125"/>
        <v>750</v>
      </c>
      <c r="AR171" s="149">
        <f t="shared" si="126"/>
        <v>180717.63000000018</v>
      </c>
      <c r="AS171" s="133"/>
      <c r="AT171" s="152">
        <f t="shared" si="127"/>
        <v>119</v>
      </c>
      <c r="AU171" s="151">
        <f t="shared" si="93"/>
        <v>49278</v>
      </c>
      <c r="AV171" s="150">
        <f t="shared" si="128"/>
        <v>3903.4</v>
      </c>
      <c r="AW171" s="150">
        <f t="shared" si="94"/>
        <v>71.56</v>
      </c>
      <c r="AX171" s="150">
        <f t="shared" si="95"/>
        <v>148.44</v>
      </c>
      <c r="AY171" s="150">
        <f t="shared" si="96"/>
        <v>600</v>
      </c>
      <c r="AZ171" s="150">
        <f t="shared" si="97"/>
        <v>3154.96</v>
      </c>
      <c r="BA171" s="150">
        <f t="shared" si="129"/>
        <v>12850</v>
      </c>
      <c r="BB171" s="150">
        <f t="shared" si="98"/>
        <v>203.46</v>
      </c>
      <c r="BC171" s="150">
        <f t="shared" si="99"/>
        <v>0</v>
      </c>
      <c r="BD171" s="150">
        <f t="shared" si="100"/>
        <v>0</v>
      </c>
      <c r="BE171" s="150">
        <f t="shared" si="101"/>
        <v>12850</v>
      </c>
      <c r="BF171" s="150">
        <f t="shared" si="130"/>
        <v>0</v>
      </c>
      <c r="BG171" s="150">
        <f t="shared" si="102"/>
        <v>0</v>
      </c>
      <c r="BH171" s="150">
        <f t="shared" si="103"/>
        <v>0</v>
      </c>
      <c r="BI171" s="150">
        <f t="shared" si="104"/>
        <v>0</v>
      </c>
      <c r="BJ171" s="150">
        <f t="shared" si="105"/>
        <v>0</v>
      </c>
      <c r="BK171" s="150">
        <f t="shared" si="131"/>
        <v>115000</v>
      </c>
      <c r="BL171" s="150">
        <f t="shared" si="106"/>
        <v>575</v>
      </c>
      <c r="BM171" s="150">
        <f t="shared" si="107"/>
        <v>0</v>
      </c>
      <c r="BN171" s="150">
        <f t="shared" si="108"/>
        <v>0</v>
      </c>
      <c r="BO171" s="150">
        <f t="shared" si="109"/>
        <v>115000</v>
      </c>
      <c r="BP171" s="150">
        <f t="shared" si="132"/>
        <v>12000</v>
      </c>
      <c r="BQ171" s="150">
        <f t="shared" si="110"/>
        <v>50</v>
      </c>
      <c r="BR171" s="150">
        <f t="shared" si="111"/>
        <v>0</v>
      </c>
      <c r="BS171" s="150">
        <f t="shared" si="112"/>
        <v>0</v>
      </c>
      <c r="BT171" s="150">
        <f t="shared" si="113"/>
        <v>12000</v>
      </c>
      <c r="BU171" s="150">
        <f t="shared" si="133"/>
        <v>0</v>
      </c>
      <c r="BV171" s="150">
        <f t="shared" si="114"/>
        <v>0</v>
      </c>
      <c r="BW171" s="150">
        <f t="shared" si="115"/>
        <v>0</v>
      </c>
      <c r="BX171" s="150">
        <f t="shared" si="116"/>
        <v>0</v>
      </c>
      <c r="BY171" s="150">
        <f t="shared" si="117"/>
        <v>0</v>
      </c>
      <c r="BZ171" s="147">
        <f t="shared" si="134"/>
        <v>600</v>
      </c>
      <c r="CA171" s="147">
        <f t="shared" si="135"/>
        <v>170423.10000000015</v>
      </c>
    </row>
    <row r="172" spans="11:79">
      <c r="K172" s="132">
        <f t="shared" si="118"/>
        <v>120</v>
      </c>
      <c r="L172" s="148">
        <f t="shared" si="68"/>
        <v>49309</v>
      </c>
      <c r="M172" s="131">
        <f t="shared" si="119"/>
        <v>23750</v>
      </c>
      <c r="N172" s="131">
        <f t="shared" si="69"/>
        <v>435.42</v>
      </c>
      <c r="O172" s="131">
        <f t="shared" si="70"/>
        <v>0</v>
      </c>
      <c r="P172" s="131">
        <f t="shared" si="71"/>
        <v>750</v>
      </c>
      <c r="Q172" s="131">
        <f t="shared" si="72"/>
        <v>23000</v>
      </c>
      <c r="R172" s="131">
        <f t="shared" si="120"/>
        <v>0</v>
      </c>
      <c r="S172" s="131">
        <f t="shared" si="73"/>
        <v>0</v>
      </c>
      <c r="T172" s="131">
        <f t="shared" si="74"/>
        <v>0</v>
      </c>
      <c r="U172" s="131">
        <f t="shared" si="75"/>
        <v>0</v>
      </c>
      <c r="V172" s="131">
        <f t="shared" si="76"/>
        <v>0</v>
      </c>
      <c r="W172" s="131">
        <f t="shared" si="121"/>
        <v>0</v>
      </c>
      <c r="X172" s="131">
        <f t="shared" si="77"/>
        <v>0</v>
      </c>
      <c r="Y172" s="131">
        <f t="shared" si="78"/>
        <v>0</v>
      </c>
      <c r="Z172" s="131">
        <f t="shared" si="79"/>
        <v>0</v>
      </c>
      <c r="AA172" s="131">
        <f t="shared" si="80"/>
        <v>0</v>
      </c>
      <c r="AB172" s="131">
        <f t="shared" si="122"/>
        <v>115000</v>
      </c>
      <c r="AC172" s="131">
        <f t="shared" si="81"/>
        <v>575</v>
      </c>
      <c r="AD172" s="131">
        <f t="shared" si="82"/>
        <v>0</v>
      </c>
      <c r="AE172" s="131">
        <f t="shared" si="83"/>
        <v>0</v>
      </c>
      <c r="AF172" s="131">
        <f t="shared" si="84"/>
        <v>115000</v>
      </c>
      <c r="AG172" s="131">
        <f t="shared" si="123"/>
        <v>0</v>
      </c>
      <c r="AH172" s="131">
        <f t="shared" si="85"/>
        <v>0</v>
      </c>
      <c r="AI172" s="131">
        <f t="shared" si="86"/>
        <v>0</v>
      </c>
      <c r="AJ172" s="131">
        <f t="shared" si="87"/>
        <v>0</v>
      </c>
      <c r="AK172" s="131">
        <f t="shared" si="88"/>
        <v>0</v>
      </c>
      <c r="AL172" s="131">
        <f t="shared" si="124"/>
        <v>0</v>
      </c>
      <c r="AM172" s="131">
        <f t="shared" si="89"/>
        <v>0</v>
      </c>
      <c r="AN172" s="131">
        <f t="shared" si="90"/>
        <v>0</v>
      </c>
      <c r="AO172" s="131">
        <f t="shared" si="91"/>
        <v>0</v>
      </c>
      <c r="AP172" s="131">
        <f t="shared" si="92"/>
        <v>0</v>
      </c>
      <c r="AQ172" s="149">
        <f t="shared" si="125"/>
        <v>750</v>
      </c>
      <c r="AR172" s="149">
        <f t="shared" si="126"/>
        <v>181728.05000000019</v>
      </c>
      <c r="AS172" s="133"/>
      <c r="AT172" s="132">
        <f t="shared" si="127"/>
        <v>120</v>
      </c>
      <c r="AU172" s="148">
        <f t="shared" si="93"/>
        <v>49309</v>
      </c>
      <c r="AV172" s="131">
        <f t="shared" si="128"/>
        <v>3154.96</v>
      </c>
      <c r="AW172" s="131">
        <f t="shared" si="94"/>
        <v>57.84</v>
      </c>
      <c r="AX172" s="131">
        <f t="shared" si="95"/>
        <v>162.16</v>
      </c>
      <c r="AY172" s="131">
        <f t="shared" si="96"/>
        <v>600</v>
      </c>
      <c r="AZ172" s="131">
        <f t="shared" si="97"/>
        <v>2392.8000000000002</v>
      </c>
      <c r="BA172" s="131">
        <f t="shared" si="129"/>
        <v>12850</v>
      </c>
      <c r="BB172" s="131">
        <f t="shared" si="98"/>
        <v>203.46</v>
      </c>
      <c r="BC172" s="131">
        <f t="shared" si="99"/>
        <v>0</v>
      </c>
      <c r="BD172" s="131">
        <f t="shared" si="100"/>
        <v>0</v>
      </c>
      <c r="BE172" s="131">
        <f t="shared" si="101"/>
        <v>12850</v>
      </c>
      <c r="BF172" s="131">
        <f t="shared" si="130"/>
        <v>0</v>
      </c>
      <c r="BG172" s="131">
        <f t="shared" si="102"/>
        <v>0</v>
      </c>
      <c r="BH172" s="131">
        <f t="shared" si="103"/>
        <v>0</v>
      </c>
      <c r="BI172" s="131">
        <f t="shared" si="104"/>
        <v>0</v>
      </c>
      <c r="BJ172" s="131">
        <f t="shared" si="105"/>
        <v>0</v>
      </c>
      <c r="BK172" s="131">
        <f t="shared" si="131"/>
        <v>115000</v>
      </c>
      <c r="BL172" s="131">
        <f t="shared" si="106"/>
        <v>575</v>
      </c>
      <c r="BM172" s="131">
        <f t="shared" si="107"/>
        <v>0</v>
      </c>
      <c r="BN172" s="131">
        <f t="shared" si="108"/>
        <v>0</v>
      </c>
      <c r="BO172" s="131">
        <f t="shared" si="109"/>
        <v>115000</v>
      </c>
      <c r="BP172" s="131">
        <f t="shared" si="132"/>
        <v>12000</v>
      </c>
      <c r="BQ172" s="131">
        <f t="shared" si="110"/>
        <v>50</v>
      </c>
      <c r="BR172" s="131">
        <f t="shared" si="111"/>
        <v>0</v>
      </c>
      <c r="BS172" s="131">
        <f t="shared" si="112"/>
        <v>0</v>
      </c>
      <c r="BT172" s="131">
        <f t="shared" si="113"/>
        <v>12000</v>
      </c>
      <c r="BU172" s="131">
        <f t="shared" si="133"/>
        <v>0</v>
      </c>
      <c r="BV172" s="131">
        <f t="shared" si="114"/>
        <v>0</v>
      </c>
      <c r="BW172" s="131">
        <f t="shared" si="115"/>
        <v>0</v>
      </c>
      <c r="BX172" s="131">
        <f t="shared" si="116"/>
        <v>0</v>
      </c>
      <c r="BY172" s="131">
        <f t="shared" si="117"/>
        <v>0</v>
      </c>
      <c r="BZ172" s="147">
        <f t="shared" si="134"/>
        <v>600</v>
      </c>
      <c r="CA172" s="147">
        <f t="shared" si="135"/>
        <v>171309.40000000014</v>
      </c>
    </row>
    <row r="173" spans="11:79">
      <c r="K173" s="152">
        <f t="shared" si="118"/>
        <v>121</v>
      </c>
      <c r="L173" s="151">
        <f t="shared" si="68"/>
        <v>49340</v>
      </c>
      <c r="M173" s="150">
        <f t="shared" si="119"/>
        <v>23000</v>
      </c>
      <c r="N173" s="150">
        <f t="shared" si="69"/>
        <v>421.67</v>
      </c>
      <c r="O173" s="150">
        <f t="shared" si="70"/>
        <v>0</v>
      </c>
      <c r="P173" s="150">
        <f t="shared" si="71"/>
        <v>750</v>
      </c>
      <c r="Q173" s="150">
        <f t="shared" si="72"/>
        <v>22250</v>
      </c>
      <c r="R173" s="150">
        <f t="shared" si="120"/>
        <v>0</v>
      </c>
      <c r="S173" s="150">
        <f t="shared" si="73"/>
        <v>0</v>
      </c>
      <c r="T173" s="150">
        <f t="shared" si="74"/>
        <v>0</v>
      </c>
      <c r="U173" s="150">
        <f t="shared" si="75"/>
        <v>0</v>
      </c>
      <c r="V173" s="150">
        <f t="shared" si="76"/>
        <v>0</v>
      </c>
      <c r="W173" s="150">
        <f t="shared" si="121"/>
        <v>0</v>
      </c>
      <c r="X173" s="150">
        <f t="shared" si="77"/>
        <v>0</v>
      </c>
      <c r="Y173" s="150">
        <f t="shared" si="78"/>
        <v>0</v>
      </c>
      <c r="Z173" s="150">
        <f t="shared" si="79"/>
        <v>0</v>
      </c>
      <c r="AA173" s="150">
        <f t="shared" si="80"/>
        <v>0</v>
      </c>
      <c r="AB173" s="150">
        <f t="shared" si="122"/>
        <v>115000</v>
      </c>
      <c r="AC173" s="150">
        <f t="shared" si="81"/>
        <v>575</v>
      </c>
      <c r="AD173" s="150">
        <f t="shared" si="82"/>
        <v>0</v>
      </c>
      <c r="AE173" s="150">
        <f t="shared" si="83"/>
        <v>0</v>
      </c>
      <c r="AF173" s="150">
        <f t="shared" si="84"/>
        <v>115000</v>
      </c>
      <c r="AG173" s="150">
        <f t="shared" si="123"/>
        <v>0</v>
      </c>
      <c r="AH173" s="150">
        <f t="shared" si="85"/>
        <v>0</v>
      </c>
      <c r="AI173" s="150">
        <f t="shared" si="86"/>
        <v>0</v>
      </c>
      <c r="AJ173" s="150">
        <f t="shared" si="87"/>
        <v>0</v>
      </c>
      <c r="AK173" s="150">
        <f t="shared" si="88"/>
        <v>0</v>
      </c>
      <c r="AL173" s="150">
        <f t="shared" si="124"/>
        <v>0</v>
      </c>
      <c r="AM173" s="150">
        <f t="shared" si="89"/>
        <v>0</v>
      </c>
      <c r="AN173" s="150">
        <f t="shared" si="90"/>
        <v>0</v>
      </c>
      <c r="AO173" s="150">
        <f t="shared" si="91"/>
        <v>0</v>
      </c>
      <c r="AP173" s="150">
        <f t="shared" si="92"/>
        <v>0</v>
      </c>
      <c r="AQ173" s="149">
        <f t="shared" si="125"/>
        <v>750</v>
      </c>
      <c r="AR173" s="149">
        <f t="shared" si="126"/>
        <v>182724.7200000002</v>
      </c>
      <c r="AS173" s="133"/>
      <c r="AT173" s="152">
        <f t="shared" si="127"/>
        <v>121</v>
      </c>
      <c r="AU173" s="151">
        <f t="shared" si="93"/>
        <v>49340</v>
      </c>
      <c r="AV173" s="150">
        <f t="shared" si="128"/>
        <v>2392.8000000000002</v>
      </c>
      <c r="AW173" s="150">
        <f t="shared" si="94"/>
        <v>43.87</v>
      </c>
      <c r="AX173" s="150">
        <f t="shared" si="95"/>
        <v>176.13</v>
      </c>
      <c r="AY173" s="150">
        <f t="shared" si="96"/>
        <v>600</v>
      </c>
      <c r="AZ173" s="150">
        <f t="shared" si="97"/>
        <v>1616.67</v>
      </c>
      <c r="BA173" s="150">
        <f t="shared" si="129"/>
        <v>12850</v>
      </c>
      <c r="BB173" s="150">
        <f t="shared" si="98"/>
        <v>203.46</v>
      </c>
      <c r="BC173" s="150">
        <f t="shared" si="99"/>
        <v>0</v>
      </c>
      <c r="BD173" s="150">
        <f t="shared" si="100"/>
        <v>0</v>
      </c>
      <c r="BE173" s="150">
        <f t="shared" si="101"/>
        <v>12850</v>
      </c>
      <c r="BF173" s="150">
        <f t="shared" si="130"/>
        <v>0</v>
      </c>
      <c r="BG173" s="150">
        <f t="shared" si="102"/>
        <v>0</v>
      </c>
      <c r="BH173" s="150">
        <f t="shared" si="103"/>
        <v>0</v>
      </c>
      <c r="BI173" s="150">
        <f t="shared" si="104"/>
        <v>0</v>
      </c>
      <c r="BJ173" s="150">
        <f t="shared" si="105"/>
        <v>0</v>
      </c>
      <c r="BK173" s="150">
        <f t="shared" si="131"/>
        <v>115000</v>
      </c>
      <c r="BL173" s="150">
        <f t="shared" si="106"/>
        <v>575</v>
      </c>
      <c r="BM173" s="150">
        <f t="shared" si="107"/>
        <v>0</v>
      </c>
      <c r="BN173" s="150">
        <f t="shared" si="108"/>
        <v>0</v>
      </c>
      <c r="BO173" s="150">
        <f t="shared" si="109"/>
        <v>115000</v>
      </c>
      <c r="BP173" s="150">
        <f t="shared" si="132"/>
        <v>12000</v>
      </c>
      <c r="BQ173" s="150">
        <f t="shared" si="110"/>
        <v>50</v>
      </c>
      <c r="BR173" s="150">
        <f t="shared" si="111"/>
        <v>0</v>
      </c>
      <c r="BS173" s="150">
        <f t="shared" si="112"/>
        <v>0</v>
      </c>
      <c r="BT173" s="150">
        <f t="shared" si="113"/>
        <v>12000</v>
      </c>
      <c r="BU173" s="150">
        <f t="shared" si="133"/>
        <v>0</v>
      </c>
      <c r="BV173" s="150">
        <f t="shared" si="114"/>
        <v>0</v>
      </c>
      <c r="BW173" s="150">
        <f t="shared" si="115"/>
        <v>0</v>
      </c>
      <c r="BX173" s="150">
        <f t="shared" si="116"/>
        <v>0</v>
      </c>
      <c r="BY173" s="150">
        <f t="shared" si="117"/>
        <v>0</v>
      </c>
      <c r="BZ173" s="147">
        <f t="shared" si="134"/>
        <v>600</v>
      </c>
      <c r="CA173" s="147">
        <f t="shared" si="135"/>
        <v>172181.73000000013</v>
      </c>
    </row>
    <row r="174" spans="11:79">
      <c r="K174" s="132">
        <f t="shared" si="118"/>
        <v>122</v>
      </c>
      <c r="L174" s="148">
        <f t="shared" si="68"/>
        <v>49368</v>
      </c>
      <c r="M174" s="131">
        <f t="shared" si="119"/>
        <v>22250</v>
      </c>
      <c r="N174" s="131">
        <f t="shared" si="69"/>
        <v>407.92</v>
      </c>
      <c r="O174" s="131">
        <f t="shared" si="70"/>
        <v>0</v>
      </c>
      <c r="P174" s="131">
        <f t="shared" si="71"/>
        <v>750</v>
      </c>
      <c r="Q174" s="131">
        <f t="shared" si="72"/>
        <v>21500</v>
      </c>
      <c r="R174" s="131">
        <f t="shared" si="120"/>
        <v>0</v>
      </c>
      <c r="S174" s="131">
        <f t="shared" si="73"/>
        <v>0</v>
      </c>
      <c r="T174" s="131">
        <f t="shared" si="74"/>
        <v>0</v>
      </c>
      <c r="U174" s="131">
        <f t="shared" si="75"/>
        <v>0</v>
      </c>
      <c r="V174" s="131">
        <f t="shared" si="76"/>
        <v>0</v>
      </c>
      <c r="W174" s="131">
        <f t="shared" si="121"/>
        <v>0</v>
      </c>
      <c r="X174" s="131">
        <f t="shared" si="77"/>
        <v>0</v>
      </c>
      <c r="Y174" s="131">
        <f t="shared" si="78"/>
        <v>0</v>
      </c>
      <c r="Z174" s="131">
        <f t="shared" si="79"/>
        <v>0</v>
      </c>
      <c r="AA174" s="131">
        <f t="shared" si="80"/>
        <v>0</v>
      </c>
      <c r="AB174" s="131">
        <f t="shared" si="122"/>
        <v>115000</v>
      </c>
      <c r="AC174" s="131">
        <f t="shared" si="81"/>
        <v>575</v>
      </c>
      <c r="AD174" s="131">
        <f t="shared" si="82"/>
        <v>0</v>
      </c>
      <c r="AE174" s="131">
        <f t="shared" si="83"/>
        <v>0</v>
      </c>
      <c r="AF174" s="131">
        <f t="shared" si="84"/>
        <v>115000</v>
      </c>
      <c r="AG174" s="131">
        <f t="shared" si="123"/>
        <v>0</v>
      </c>
      <c r="AH174" s="131">
        <f t="shared" si="85"/>
        <v>0</v>
      </c>
      <c r="AI174" s="131">
        <f t="shared" si="86"/>
        <v>0</v>
      </c>
      <c r="AJ174" s="131">
        <f t="shared" si="87"/>
        <v>0</v>
      </c>
      <c r="AK174" s="131">
        <f t="shared" si="88"/>
        <v>0</v>
      </c>
      <c r="AL174" s="131">
        <f t="shared" si="124"/>
        <v>0</v>
      </c>
      <c r="AM174" s="131">
        <f t="shared" si="89"/>
        <v>0</v>
      </c>
      <c r="AN174" s="131">
        <f t="shared" si="90"/>
        <v>0</v>
      </c>
      <c r="AO174" s="131">
        <f t="shared" si="91"/>
        <v>0</v>
      </c>
      <c r="AP174" s="131">
        <f t="shared" si="92"/>
        <v>0</v>
      </c>
      <c r="AQ174" s="149">
        <f t="shared" si="125"/>
        <v>750</v>
      </c>
      <c r="AR174" s="149">
        <f t="shared" si="126"/>
        <v>183707.64000000022</v>
      </c>
      <c r="AS174" s="133"/>
      <c r="AT174" s="132">
        <f t="shared" si="127"/>
        <v>122</v>
      </c>
      <c r="AU174" s="148">
        <f t="shared" si="93"/>
        <v>49368</v>
      </c>
      <c r="AV174" s="131">
        <f t="shared" si="128"/>
        <v>1616.67</v>
      </c>
      <c r="AW174" s="131">
        <f t="shared" si="94"/>
        <v>29.64</v>
      </c>
      <c r="AX174" s="131">
        <f t="shared" si="95"/>
        <v>190.36</v>
      </c>
      <c r="AY174" s="131">
        <f t="shared" si="96"/>
        <v>600</v>
      </c>
      <c r="AZ174" s="131">
        <f t="shared" si="97"/>
        <v>826.31</v>
      </c>
      <c r="BA174" s="131">
        <f t="shared" si="129"/>
        <v>12850</v>
      </c>
      <c r="BB174" s="131">
        <f t="shared" si="98"/>
        <v>203.46</v>
      </c>
      <c r="BC174" s="131">
        <f t="shared" si="99"/>
        <v>0</v>
      </c>
      <c r="BD174" s="131">
        <f t="shared" si="100"/>
        <v>0</v>
      </c>
      <c r="BE174" s="131">
        <f t="shared" si="101"/>
        <v>12850</v>
      </c>
      <c r="BF174" s="131">
        <f t="shared" si="130"/>
        <v>0</v>
      </c>
      <c r="BG174" s="131">
        <f t="shared" si="102"/>
        <v>0</v>
      </c>
      <c r="BH174" s="131">
        <f t="shared" si="103"/>
        <v>0</v>
      </c>
      <c r="BI174" s="131">
        <f t="shared" si="104"/>
        <v>0</v>
      </c>
      <c r="BJ174" s="131">
        <f t="shared" si="105"/>
        <v>0</v>
      </c>
      <c r="BK174" s="131">
        <f t="shared" si="131"/>
        <v>115000</v>
      </c>
      <c r="BL174" s="131">
        <f t="shared" si="106"/>
        <v>575</v>
      </c>
      <c r="BM174" s="131">
        <f t="shared" si="107"/>
        <v>0</v>
      </c>
      <c r="BN174" s="131">
        <f t="shared" si="108"/>
        <v>0</v>
      </c>
      <c r="BO174" s="131">
        <f t="shared" si="109"/>
        <v>115000</v>
      </c>
      <c r="BP174" s="131">
        <f t="shared" si="132"/>
        <v>12000</v>
      </c>
      <c r="BQ174" s="131">
        <f t="shared" si="110"/>
        <v>50</v>
      </c>
      <c r="BR174" s="131">
        <f t="shared" si="111"/>
        <v>0</v>
      </c>
      <c r="BS174" s="131">
        <f t="shared" si="112"/>
        <v>0</v>
      </c>
      <c r="BT174" s="131">
        <f t="shared" si="113"/>
        <v>12000</v>
      </c>
      <c r="BU174" s="131">
        <f t="shared" si="133"/>
        <v>0</v>
      </c>
      <c r="BV174" s="131">
        <f t="shared" si="114"/>
        <v>0</v>
      </c>
      <c r="BW174" s="131">
        <f t="shared" si="115"/>
        <v>0</v>
      </c>
      <c r="BX174" s="131">
        <f t="shared" si="116"/>
        <v>0</v>
      </c>
      <c r="BY174" s="131">
        <f t="shared" si="117"/>
        <v>0</v>
      </c>
      <c r="BZ174" s="147">
        <f t="shared" si="134"/>
        <v>600</v>
      </c>
      <c r="CA174" s="147">
        <f t="shared" si="135"/>
        <v>173039.83000000013</v>
      </c>
    </row>
    <row r="175" spans="11:79">
      <c r="K175" s="152">
        <f t="shared" si="118"/>
        <v>123</v>
      </c>
      <c r="L175" s="151">
        <f t="shared" si="68"/>
        <v>49399</v>
      </c>
      <c r="M175" s="150">
        <f t="shared" si="119"/>
        <v>21500</v>
      </c>
      <c r="N175" s="150">
        <f t="shared" si="69"/>
        <v>394.17</v>
      </c>
      <c r="O175" s="150">
        <f t="shared" si="70"/>
        <v>0</v>
      </c>
      <c r="P175" s="150">
        <f t="shared" si="71"/>
        <v>750</v>
      </c>
      <c r="Q175" s="150">
        <f t="shared" si="72"/>
        <v>20750</v>
      </c>
      <c r="R175" s="150">
        <f t="shared" si="120"/>
        <v>0</v>
      </c>
      <c r="S175" s="150">
        <f t="shared" si="73"/>
        <v>0</v>
      </c>
      <c r="T175" s="150">
        <f t="shared" si="74"/>
        <v>0</v>
      </c>
      <c r="U175" s="150">
        <f t="shared" si="75"/>
        <v>0</v>
      </c>
      <c r="V175" s="150">
        <f t="shared" si="76"/>
        <v>0</v>
      </c>
      <c r="W175" s="150">
        <f t="shared" si="121"/>
        <v>0</v>
      </c>
      <c r="X175" s="150">
        <f t="shared" si="77"/>
        <v>0</v>
      </c>
      <c r="Y175" s="150">
        <f t="shared" si="78"/>
        <v>0</v>
      </c>
      <c r="Z175" s="150">
        <f t="shared" si="79"/>
        <v>0</v>
      </c>
      <c r="AA175" s="150">
        <f t="shared" si="80"/>
        <v>0</v>
      </c>
      <c r="AB175" s="150">
        <f t="shared" si="122"/>
        <v>115000</v>
      </c>
      <c r="AC175" s="150">
        <f t="shared" si="81"/>
        <v>575</v>
      </c>
      <c r="AD175" s="150">
        <f t="shared" si="82"/>
        <v>0</v>
      </c>
      <c r="AE175" s="150">
        <f t="shared" si="83"/>
        <v>0</v>
      </c>
      <c r="AF175" s="150">
        <f t="shared" si="84"/>
        <v>115000</v>
      </c>
      <c r="AG175" s="150">
        <f t="shared" si="123"/>
        <v>0</v>
      </c>
      <c r="AH175" s="150">
        <f t="shared" si="85"/>
        <v>0</v>
      </c>
      <c r="AI175" s="150">
        <f t="shared" si="86"/>
        <v>0</v>
      </c>
      <c r="AJ175" s="150">
        <f t="shared" si="87"/>
        <v>0</v>
      </c>
      <c r="AK175" s="150">
        <f t="shared" si="88"/>
        <v>0</v>
      </c>
      <c r="AL175" s="150">
        <f t="shared" si="124"/>
        <v>0</v>
      </c>
      <c r="AM175" s="150">
        <f t="shared" si="89"/>
        <v>0</v>
      </c>
      <c r="AN175" s="150">
        <f t="shared" si="90"/>
        <v>0</v>
      </c>
      <c r="AO175" s="150">
        <f t="shared" si="91"/>
        <v>0</v>
      </c>
      <c r="AP175" s="150">
        <f t="shared" si="92"/>
        <v>0</v>
      </c>
      <c r="AQ175" s="149">
        <f t="shared" si="125"/>
        <v>750</v>
      </c>
      <c r="AR175" s="149">
        <f t="shared" si="126"/>
        <v>184676.81000000023</v>
      </c>
      <c r="AS175" s="133"/>
      <c r="AT175" s="152">
        <f t="shared" si="127"/>
        <v>123</v>
      </c>
      <c r="AU175" s="151">
        <f t="shared" si="93"/>
        <v>49399</v>
      </c>
      <c r="AV175" s="150">
        <f t="shared" si="128"/>
        <v>826.31</v>
      </c>
      <c r="AW175" s="150">
        <f t="shared" si="94"/>
        <v>15.15</v>
      </c>
      <c r="AX175" s="150">
        <f t="shared" si="95"/>
        <v>204.85</v>
      </c>
      <c r="AY175" s="150">
        <f t="shared" si="96"/>
        <v>600</v>
      </c>
      <c r="AZ175" s="150">
        <f t="shared" si="97"/>
        <v>21.46</v>
      </c>
      <c r="BA175" s="150">
        <f t="shared" si="129"/>
        <v>12850</v>
      </c>
      <c r="BB175" s="150">
        <f t="shared" si="98"/>
        <v>203.46</v>
      </c>
      <c r="BC175" s="150">
        <f t="shared" si="99"/>
        <v>0</v>
      </c>
      <c r="BD175" s="150">
        <f t="shared" si="100"/>
        <v>0</v>
      </c>
      <c r="BE175" s="150">
        <f t="shared" si="101"/>
        <v>12850</v>
      </c>
      <c r="BF175" s="150">
        <f t="shared" si="130"/>
        <v>0</v>
      </c>
      <c r="BG175" s="150">
        <f t="shared" si="102"/>
        <v>0</v>
      </c>
      <c r="BH175" s="150">
        <f t="shared" si="103"/>
        <v>0</v>
      </c>
      <c r="BI175" s="150">
        <f t="shared" si="104"/>
        <v>0</v>
      </c>
      <c r="BJ175" s="150">
        <f t="shared" si="105"/>
        <v>0</v>
      </c>
      <c r="BK175" s="150">
        <f t="shared" si="131"/>
        <v>115000</v>
      </c>
      <c r="BL175" s="150">
        <f t="shared" si="106"/>
        <v>575</v>
      </c>
      <c r="BM175" s="150">
        <f t="shared" si="107"/>
        <v>0</v>
      </c>
      <c r="BN175" s="150">
        <f t="shared" si="108"/>
        <v>0</v>
      </c>
      <c r="BO175" s="150">
        <f t="shared" si="109"/>
        <v>115000</v>
      </c>
      <c r="BP175" s="150">
        <f t="shared" si="132"/>
        <v>12000</v>
      </c>
      <c r="BQ175" s="150">
        <f t="shared" si="110"/>
        <v>50</v>
      </c>
      <c r="BR175" s="150">
        <f t="shared" si="111"/>
        <v>0</v>
      </c>
      <c r="BS175" s="150">
        <f t="shared" si="112"/>
        <v>0</v>
      </c>
      <c r="BT175" s="150">
        <f t="shared" si="113"/>
        <v>12000</v>
      </c>
      <c r="BU175" s="150">
        <f t="shared" si="133"/>
        <v>0</v>
      </c>
      <c r="BV175" s="150">
        <f t="shared" si="114"/>
        <v>0</v>
      </c>
      <c r="BW175" s="150">
        <f t="shared" si="115"/>
        <v>0</v>
      </c>
      <c r="BX175" s="150">
        <f t="shared" si="116"/>
        <v>0</v>
      </c>
      <c r="BY175" s="150">
        <f t="shared" si="117"/>
        <v>0</v>
      </c>
      <c r="BZ175" s="147">
        <f t="shared" si="134"/>
        <v>600</v>
      </c>
      <c r="CA175" s="147">
        <f t="shared" si="135"/>
        <v>173883.44000000012</v>
      </c>
    </row>
    <row r="176" spans="11:79">
      <c r="K176" s="132">
        <f t="shared" si="118"/>
        <v>124</v>
      </c>
      <c r="L176" s="148">
        <f t="shared" si="68"/>
        <v>49429</v>
      </c>
      <c r="M176" s="131">
        <f t="shared" si="119"/>
        <v>20750</v>
      </c>
      <c r="N176" s="131">
        <f t="shared" si="69"/>
        <v>380.42</v>
      </c>
      <c r="O176" s="131">
        <f t="shared" si="70"/>
        <v>0</v>
      </c>
      <c r="P176" s="131">
        <f t="shared" si="71"/>
        <v>750</v>
      </c>
      <c r="Q176" s="131">
        <f t="shared" si="72"/>
        <v>20000</v>
      </c>
      <c r="R176" s="131">
        <f t="shared" si="120"/>
        <v>0</v>
      </c>
      <c r="S176" s="131">
        <f t="shared" si="73"/>
        <v>0</v>
      </c>
      <c r="T176" s="131">
        <f t="shared" si="74"/>
        <v>0</v>
      </c>
      <c r="U176" s="131">
        <f t="shared" si="75"/>
        <v>0</v>
      </c>
      <c r="V176" s="131">
        <f t="shared" si="76"/>
        <v>0</v>
      </c>
      <c r="W176" s="131">
        <f t="shared" si="121"/>
        <v>0</v>
      </c>
      <c r="X176" s="131">
        <f t="shared" si="77"/>
        <v>0</v>
      </c>
      <c r="Y176" s="131">
        <f t="shared" si="78"/>
        <v>0</v>
      </c>
      <c r="Z176" s="131">
        <f t="shared" si="79"/>
        <v>0</v>
      </c>
      <c r="AA176" s="131">
        <f t="shared" si="80"/>
        <v>0</v>
      </c>
      <c r="AB176" s="131">
        <f t="shared" si="122"/>
        <v>115000</v>
      </c>
      <c r="AC176" s="131">
        <f t="shared" si="81"/>
        <v>575</v>
      </c>
      <c r="AD176" s="131">
        <f t="shared" si="82"/>
        <v>0</v>
      </c>
      <c r="AE176" s="131">
        <f t="shared" si="83"/>
        <v>0</v>
      </c>
      <c r="AF176" s="131">
        <f t="shared" si="84"/>
        <v>115000</v>
      </c>
      <c r="AG176" s="131">
        <f t="shared" si="123"/>
        <v>0</v>
      </c>
      <c r="AH176" s="131">
        <f t="shared" si="85"/>
        <v>0</v>
      </c>
      <c r="AI176" s="131">
        <f t="shared" si="86"/>
        <v>0</v>
      </c>
      <c r="AJ176" s="131">
        <f t="shared" si="87"/>
        <v>0</v>
      </c>
      <c r="AK176" s="131">
        <f t="shared" si="88"/>
        <v>0</v>
      </c>
      <c r="AL176" s="131">
        <f t="shared" si="124"/>
        <v>0</v>
      </c>
      <c r="AM176" s="131">
        <f t="shared" si="89"/>
        <v>0</v>
      </c>
      <c r="AN176" s="131">
        <f t="shared" si="90"/>
        <v>0</v>
      </c>
      <c r="AO176" s="131">
        <f t="shared" si="91"/>
        <v>0</v>
      </c>
      <c r="AP176" s="131">
        <f t="shared" si="92"/>
        <v>0</v>
      </c>
      <c r="AQ176" s="149">
        <f t="shared" si="125"/>
        <v>750</v>
      </c>
      <c r="AR176" s="149">
        <f t="shared" si="126"/>
        <v>185632.23000000024</v>
      </c>
      <c r="AS176" s="133"/>
      <c r="AT176" s="132">
        <f t="shared" si="127"/>
        <v>124</v>
      </c>
      <c r="AU176" s="148">
        <f t="shared" si="93"/>
        <v>49429</v>
      </c>
      <c r="AV176" s="131">
        <f t="shared" si="128"/>
        <v>21.46</v>
      </c>
      <c r="AW176" s="131">
        <f t="shared" si="94"/>
        <v>0.39</v>
      </c>
      <c r="AX176" s="131">
        <f t="shared" si="95"/>
        <v>21.46</v>
      </c>
      <c r="AY176" s="131">
        <f t="shared" si="96"/>
        <v>0</v>
      </c>
      <c r="AZ176" s="131">
        <f t="shared" si="97"/>
        <v>0</v>
      </c>
      <c r="BA176" s="131">
        <f t="shared" si="129"/>
        <v>12850</v>
      </c>
      <c r="BB176" s="131">
        <f t="shared" si="98"/>
        <v>203.46</v>
      </c>
      <c r="BC176" s="131">
        <f t="shared" si="99"/>
        <v>0</v>
      </c>
      <c r="BD176" s="131">
        <f t="shared" si="100"/>
        <v>0</v>
      </c>
      <c r="BE176" s="131">
        <f t="shared" si="101"/>
        <v>12850</v>
      </c>
      <c r="BF176" s="131">
        <f t="shared" si="130"/>
        <v>0</v>
      </c>
      <c r="BG176" s="131">
        <f t="shared" si="102"/>
        <v>0</v>
      </c>
      <c r="BH176" s="131">
        <f t="shared" si="103"/>
        <v>0</v>
      </c>
      <c r="BI176" s="131">
        <f t="shared" si="104"/>
        <v>0</v>
      </c>
      <c r="BJ176" s="131">
        <f t="shared" si="105"/>
        <v>0</v>
      </c>
      <c r="BK176" s="131">
        <f t="shared" si="131"/>
        <v>115000</v>
      </c>
      <c r="BL176" s="131">
        <f t="shared" si="106"/>
        <v>575</v>
      </c>
      <c r="BM176" s="131">
        <f t="shared" si="107"/>
        <v>0</v>
      </c>
      <c r="BN176" s="131">
        <f t="shared" si="108"/>
        <v>0</v>
      </c>
      <c r="BO176" s="131">
        <f t="shared" si="109"/>
        <v>115000</v>
      </c>
      <c r="BP176" s="131">
        <f t="shared" si="132"/>
        <v>12000</v>
      </c>
      <c r="BQ176" s="131">
        <f t="shared" si="110"/>
        <v>50</v>
      </c>
      <c r="BR176" s="131">
        <f t="shared" si="111"/>
        <v>0</v>
      </c>
      <c r="BS176" s="131">
        <f t="shared" si="112"/>
        <v>0</v>
      </c>
      <c r="BT176" s="131">
        <f t="shared" si="113"/>
        <v>12000</v>
      </c>
      <c r="BU176" s="131">
        <f t="shared" si="133"/>
        <v>0</v>
      </c>
      <c r="BV176" s="131">
        <f t="shared" si="114"/>
        <v>0</v>
      </c>
      <c r="BW176" s="131">
        <f t="shared" si="115"/>
        <v>0</v>
      </c>
      <c r="BX176" s="131">
        <f t="shared" si="116"/>
        <v>0</v>
      </c>
      <c r="BY176" s="131">
        <f t="shared" si="117"/>
        <v>0</v>
      </c>
      <c r="BZ176" s="147">
        <f t="shared" si="134"/>
        <v>600</v>
      </c>
      <c r="CA176" s="147">
        <f t="shared" si="135"/>
        <v>174712.29000000012</v>
      </c>
    </row>
    <row r="177" spans="11:79">
      <c r="K177" s="152">
        <f t="shared" si="118"/>
        <v>125</v>
      </c>
      <c r="L177" s="151">
        <f t="shared" si="68"/>
        <v>49460</v>
      </c>
      <c r="M177" s="150">
        <f t="shared" si="119"/>
        <v>20000</v>
      </c>
      <c r="N177" s="150">
        <f t="shared" si="69"/>
        <v>366.67</v>
      </c>
      <c r="O177" s="150">
        <f t="shared" si="70"/>
        <v>0</v>
      </c>
      <c r="P177" s="150">
        <f t="shared" si="71"/>
        <v>750</v>
      </c>
      <c r="Q177" s="150">
        <f t="shared" si="72"/>
        <v>19250</v>
      </c>
      <c r="R177" s="150">
        <f t="shared" si="120"/>
        <v>0</v>
      </c>
      <c r="S177" s="150">
        <f t="shared" si="73"/>
        <v>0</v>
      </c>
      <c r="T177" s="150">
        <f t="shared" si="74"/>
        <v>0</v>
      </c>
      <c r="U177" s="150">
        <f t="shared" si="75"/>
        <v>0</v>
      </c>
      <c r="V177" s="150">
        <f t="shared" si="76"/>
        <v>0</v>
      </c>
      <c r="W177" s="150">
        <f t="shared" si="121"/>
        <v>0</v>
      </c>
      <c r="X177" s="150">
        <f t="shared" si="77"/>
        <v>0</v>
      </c>
      <c r="Y177" s="150">
        <f t="shared" si="78"/>
        <v>0</v>
      </c>
      <c r="Z177" s="150">
        <f t="shared" si="79"/>
        <v>0</v>
      </c>
      <c r="AA177" s="150">
        <f t="shared" si="80"/>
        <v>0</v>
      </c>
      <c r="AB177" s="150">
        <f t="shared" si="122"/>
        <v>115000</v>
      </c>
      <c r="AC177" s="150">
        <f t="shared" si="81"/>
        <v>575</v>
      </c>
      <c r="AD177" s="150">
        <f t="shared" si="82"/>
        <v>0</v>
      </c>
      <c r="AE177" s="150">
        <f t="shared" si="83"/>
        <v>0</v>
      </c>
      <c r="AF177" s="150">
        <f t="shared" si="84"/>
        <v>115000</v>
      </c>
      <c r="AG177" s="150">
        <f t="shared" si="123"/>
        <v>0</v>
      </c>
      <c r="AH177" s="150">
        <f t="shared" si="85"/>
        <v>0</v>
      </c>
      <c r="AI177" s="150">
        <f t="shared" si="86"/>
        <v>0</v>
      </c>
      <c r="AJ177" s="150">
        <f t="shared" si="87"/>
        <v>0</v>
      </c>
      <c r="AK177" s="150">
        <f t="shared" si="88"/>
        <v>0</v>
      </c>
      <c r="AL177" s="150">
        <f t="shared" si="124"/>
        <v>0</v>
      </c>
      <c r="AM177" s="150">
        <f t="shared" si="89"/>
        <v>0</v>
      </c>
      <c r="AN177" s="150">
        <f t="shared" si="90"/>
        <v>0</v>
      </c>
      <c r="AO177" s="150">
        <f t="shared" si="91"/>
        <v>0</v>
      </c>
      <c r="AP177" s="150">
        <f t="shared" si="92"/>
        <v>0</v>
      </c>
      <c r="AQ177" s="149">
        <f t="shared" si="125"/>
        <v>750</v>
      </c>
      <c r="AR177" s="149">
        <f t="shared" si="126"/>
        <v>186573.90000000026</v>
      </c>
      <c r="AS177" s="133"/>
      <c r="AT177" s="152">
        <f t="shared" si="127"/>
        <v>125</v>
      </c>
      <c r="AU177" s="151">
        <f t="shared" si="93"/>
        <v>49460</v>
      </c>
      <c r="AV177" s="150">
        <f t="shared" si="128"/>
        <v>0</v>
      </c>
      <c r="AW177" s="150">
        <f t="shared" si="94"/>
        <v>0</v>
      </c>
      <c r="AX177" s="150">
        <f t="shared" si="95"/>
        <v>0</v>
      </c>
      <c r="AY177" s="150">
        <f t="shared" si="96"/>
        <v>0</v>
      </c>
      <c r="AZ177" s="150">
        <f t="shared" si="97"/>
        <v>0</v>
      </c>
      <c r="BA177" s="150">
        <f t="shared" si="129"/>
        <v>12850</v>
      </c>
      <c r="BB177" s="150">
        <f t="shared" si="98"/>
        <v>203.46</v>
      </c>
      <c r="BC177" s="150">
        <f t="shared" si="99"/>
        <v>0</v>
      </c>
      <c r="BD177" s="150">
        <f t="shared" si="100"/>
        <v>820</v>
      </c>
      <c r="BE177" s="150">
        <f t="shared" si="101"/>
        <v>12030</v>
      </c>
      <c r="BF177" s="150">
        <f t="shared" si="130"/>
        <v>0</v>
      </c>
      <c r="BG177" s="150">
        <f t="shared" si="102"/>
        <v>0</v>
      </c>
      <c r="BH177" s="150">
        <f t="shared" si="103"/>
        <v>0</v>
      </c>
      <c r="BI177" s="150">
        <f t="shared" si="104"/>
        <v>0</v>
      </c>
      <c r="BJ177" s="150">
        <f t="shared" si="105"/>
        <v>0</v>
      </c>
      <c r="BK177" s="150">
        <f t="shared" si="131"/>
        <v>115000</v>
      </c>
      <c r="BL177" s="150">
        <f t="shared" si="106"/>
        <v>575</v>
      </c>
      <c r="BM177" s="150">
        <f t="shared" si="107"/>
        <v>0</v>
      </c>
      <c r="BN177" s="150">
        <f t="shared" si="108"/>
        <v>0</v>
      </c>
      <c r="BO177" s="150">
        <f t="shared" si="109"/>
        <v>115000</v>
      </c>
      <c r="BP177" s="150">
        <f t="shared" si="132"/>
        <v>12000</v>
      </c>
      <c r="BQ177" s="150">
        <f t="shared" si="110"/>
        <v>50</v>
      </c>
      <c r="BR177" s="150">
        <f t="shared" si="111"/>
        <v>0</v>
      </c>
      <c r="BS177" s="150">
        <f t="shared" si="112"/>
        <v>0</v>
      </c>
      <c r="BT177" s="150">
        <f t="shared" si="113"/>
        <v>12000</v>
      </c>
      <c r="BU177" s="150">
        <f t="shared" si="133"/>
        <v>0</v>
      </c>
      <c r="BV177" s="150">
        <f t="shared" si="114"/>
        <v>0</v>
      </c>
      <c r="BW177" s="150">
        <f t="shared" si="115"/>
        <v>0</v>
      </c>
      <c r="BX177" s="150">
        <f t="shared" si="116"/>
        <v>0</v>
      </c>
      <c r="BY177" s="150">
        <f t="shared" si="117"/>
        <v>0</v>
      </c>
      <c r="BZ177" s="147">
        <f t="shared" si="134"/>
        <v>820</v>
      </c>
      <c r="CA177" s="147">
        <f t="shared" si="135"/>
        <v>175540.75000000012</v>
      </c>
    </row>
    <row r="178" spans="11:79">
      <c r="K178" s="132">
        <f t="shared" si="118"/>
        <v>126</v>
      </c>
      <c r="L178" s="148">
        <f t="shared" si="68"/>
        <v>49490</v>
      </c>
      <c r="M178" s="131">
        <f t="shared" si="119"/>
        <v>19250</v>
      </c>
      <c r="N178" s="131">
        <f t="shared" si="69"/>
        <v>352.92</v>
      </c>
      <c r="O178" s="131">
        <f t="shared" si="70"/>
        <v>0</v>
      </c>
      <c r="P178" s="131">
        <f t="shared" si="71"/>
        <v>750</v>
      </c>
      <c r="Q178" s="131">
        <f t="shared" si="72"/>
        <v>18500</v>
      </c>
      <c r="R178" s="131">
        <f t="shared" si="120"/>
        <v>0</v>
      </c>
      <c r="S178" s="131">
        <f t="shared" si="73"/>
        <v>0</v>
      </c>
      <c r="T178" s="131">
        <f t="shared" si="74"/>
        <v>0</v>
      </c>
      <c r="U178" s="131">
        <f t="shared" si="75"/>
        <v>0</v>
      </c>
      <c r="V178" s="131">
        <f t="shared" si="76"/>
        <v>0</v>
      </c>
      <c r="W178" s="131">
        <f t="shared" si="121"/>
        <v>0</v>
      </c>
      <c r="X178" s="131">
        <f t="shared" si="77"/>
        <v>0</v>
      </c>
      <c r="Y178" s="131">
        <f t="shared" si="78"/>
        <v>0</v>
      </c>
      <c r="Z178" s="131">
        <f t="shared" si="79"/>
        <v>0</v>
      </c>
      <c r="AA178" s="131">
        <f t="shared" si="80"/>
        <v>0</v>
      </c>
      <c r="AB178" s="131">
        <f t="shared" si="122"/>
        <v>115000</v>
      </c>
      <c r="AC178" s="131">
        <f t="shared" si="81"/>
        <v>575</v>
      </c>
      <c r="AD178" s="131">
        <f t="shared" si="82"/>
        <v>0</v>
      </c>
      <c r="AE178" s="131">
        <f t="shared" si="83"/>
        <v>0</v>
      </c>
      <c r="AF178" s="131">
        <f t="shared" si="84"/>
        <v>115000</v>
      </c>
      <c r="AG178" s="131">
        <f t="shared" si="123"/>
        <v>0</v>
      </c>
      <c r="AH178" s="131">
        <f t="shared" si="85"/>
        <v>0</v>
      </c>
      <c r="AI178" s="131">
        <f t="shared" si="86"/>
        <v>0</v>
      </c>
      <c r="AJ178" s="131">
        <f t="shared" si="87"/>
        <v>0</v>
      </c>
      <c r="AK178" s="131">
        <f t="shared" si="88"/>
        <v>0</v>
      </c>
      <c r="AL178" s="131">
        <f t="shared" si="124"/>
        <v>0</v>
      </c>
      <c r="AM178" s="131">
        <f t="shared" si="89"/>
        <v>0</v>
      </c>
      <c r="AN178" s="131">
        <f t="shared" si="90"/>
        <v>0</v>
      </c>
      <c r="AO178" s="131">
        <f t="shared" si="91"/>
        <v>0</v>
      </c>
      <c r="AP178" s="131">
        <f t="shared" si="92"/>
        <v>0</v>
      </c>
      <c r="AQ178" s="149">
        <f t="shared" si="125"/>
        <v>750</v>
      </c>
      <c r="AR178" s="149">
        <f t="shared" si="126"/>
        <v>187501.82000000027</v>
      </c>
      <c r="AS178" s="133"/>
      <c r="AT178" s="132">
        <f t="shared" si="127"/>
        <v>126</v>
      </c>
      <c r="AU178" s="148">
        <f t="shared" si="93"/>
        <v>49490</v>
      </c>
      <c r="AV178" s="131">
        <f t="shared" si="128"/>
        <v>0</v>
      </c>
      <c r="AW178" s="131">
        <f t="shared" si="94"/>
        <v>0</v>
      </c>
      <c r="AX178" s="131">
        <f t="shared" si="95"/>
        <v>0</v>
      </c>
      <c r="AY178" s="131">
        <f t="shared" si="96"/>
        <v>0</v>
      </c>
      <c r="AZ178" s="131">
        <f t="shared" si="97"/>
        <v>0</v>
      </c>
      <c r="BA178" s="131">
        <f t="shared" si="129"/>
        <v>12030</v>
      </c>
      <c r="BB178" s="131">
        <f t="shared" si="98"/>
        <v>190.48</v>
      </c>
      <c r="BC178" s="131">
        <f t="shared" si="99"/>
        <v>0</v>
      </c>
      <c r="BD178" s="131">
        <f t="shared" si="100"/>
        <v>820</v>
      </c>
      <c r="BE178" s="131">
        <f t="shared" si="101"/>
        <v>11210</v>
      </c>
      <c r="BF178" s="131">
        <f t="shared" si="130"/>
        <v>0</v>
      </c>
      <c r="BG178" s="131">
        <f t="shared" si="102"/>
        <v>0</v>
      </c>
      <c r="BH178" s="131">
        <f t="shared" si="103"/>
        <v>0</v>
      </c>
      <c r="BI178" s="131">
        <f t="shared" si="104"/>
        <v>0</v>
      </c>
      <c r="BJ178" s="131">
        <f t="shared" si="105"/>
        <v>0</v>
      </c>
      <c r="BK178" s="131">
        <f t="shared" si="131"/>
        <v>115000</v>
      </c>
      <c r="BL178" s="131">
        <f t="shared" si="106"/>
        <v>575</v>
      </c>
      <c r="BM178" s="131">
        <f t="shared" si="107"/>
        <v>0</v>
      </c>
      <c r="BN178" s="131">
        <f t="shared" si="108"/>
        <v>0</v>
      </c>
      <c r="BO178" s="131">
        <f t="shared" si="109"/>
        <v>115000</v>
      </c>
      <c r="BP178" s="131">
        <f t="shared" si="132"/>
        <v>12000</v>
      </c>
      <c r="BQ178" s="131">
        <f t="shared" si="110"/>
        <v>50</v>
      </c>
      <c r="BR178" s="131">
        <f t="shared" si="111"/>
        <v>0</v>
      </c>
      <c r="BS178" s="131">
        <f t="shared" si="112"/>
        <v>0</v>
      </c>
      <c r="BT178" s="131">
        <f t="shared" si="113"/>
        <v>12000</v>
      </c>
      <c r="BU178" s="131">
        <f t="shared" si="133"/>
        <v>0</v>
      </c>
      <c r="BV178" s="131">
        <f t="shared" si="114"/>
        <v>0</v>
      </c>
      <c r="BW178" s="131">
        <f t="shared" si="115"/>
        <v>0</v>
      </c>
      <c r="BX178" s="131">
        <f t="shared" si="116"/>
        <v>0</v>
      </c>
      <c r="BY178" s="131">
        <f t="shared" si="117"/>
        <v>0</v>
      </c>
      <c r="BZ178" s="147">
        <f t="shared" si="134"/>
        <v>820</v>
      </c>
      <c r="CA178" s="147">
        <f t="shared" si="135"/>
        <v>176356.23000000013</v>
      </c>
    </row>
    <row r="179" spans="11:79">
      <c r="K179" s="152">
        <f t="shared" si="118"/>
        <v>127</v>
      </c>
      <c r="L179" s="151">
        <f t="shared" si="68"/>
        <v>49521</v>
      </c>
      <c r="M179" s="150">
        <f t="shared" si="119"/>
        <v>18500</v>
      </c>
      <c r="N179" s="150">
        <f t="shared" si="69"/>
        <v>339.17</v>
      </c>
      <c r="O179" s="150">
        <f t="shared" si="70"/>
        <v>0</v>
      </c>
      <c r="P179" s="150">
        <f t="shared" si="71"/>
        <v>750</v>
      </c>
      <c r="Q179" s="150">
        <f t="shared" si="72"/>
        <v>17750</v>
      </c>
      <c r="R179" s="150">
        <f t="shared" si="120"/>
        <v>0</v>
      </c>
      <c r="S179" s="150">
        <f t="shared" si="73"/>
        <v>0</v>
      </c>
      <c r="T179" s="150">
        <f t="shared" si="74"/>
        <v>0</v>
      </c>
      <c r="U179" s="150">
        <f t="shared" si="75"/>
        <v>0</v>
      </c>
      <c r="V179" s="150">
        <f t="shared" si="76"/>
        <v>0</v>
      </c>
      <c r="W179" s="150">
        <f t="shared" si="121"/>
        <v>0</v>
      </c>
      <c r="X179" s="150">
        <f t="shared" si="77"/>
        <v>0</v>
      </c>
      <c r="Y179" s="150">
        <f t="shared" si="78"/>
        <v>0</v>
      </c>
      <c r="Z179" s="150">
        <f t="shared" si="79"/>
        <v>0</v>
      </c>
      <c r="AA179" s="150">
        <f t="shared" si="80"/>
        <v>0</v>
      </c>
      <c r="AB179" s="150">
        <f t="shared" si="122"/>
        <v>115000</v>
      </c>
      <c r="AC179" s="150">
        <f t="shared" si="81"/>
        <v>575</v>
      </c>
      <c r="AD179" s="150">
        <f t="shared" si="82"/>
        <v>0</v>
      </c>
      <c r="AE179" s="150">
        <f t="shared" si="83"/>
        <v>0</v>
      </c>
      <c r="AF179" s="150">
        <f t="shared" si="84"/>
        <v>115000</v>
      </c>
      <c r="AG179" s="150">
        <f t="shared" si="123"/>
        <v>0</v>
      </c>
      <c r="AH179" s="150">
        <f t="shared" si="85"/>
        <v>0</v>
      </c>
      <c r="AI179" s="150">
        <f t="shared" si="86"/>
        <v>0</v>
      </c>
      <c r="AJ179" s="150">
        <f t="shared" si="87"/>
        <v>0</v>
      </c>
      <c r="AK179" s="150">
        <f t="shared" si="88"/>
        <v>0</v>
      </c>
      <c r="AL179" s="150">
        <f t="shared" si="124"/>
        <v>0</v>
      </c>
      <c r="AM179" s="150">
        <f t="shared" si="89"/>
        <v>0</v>
      </c>
      <c r="AN179" s="150">
        <f t="shared" si="90"/>
        <v>0</v>
      </c>
      <c r="AO179" s="150">
        <f t="shared" si="91"/>
        <v>0</v>
      </c>
      <c r="AP179" s="150">
        <f t="shared" si="92"/>
        <v>0</v>
      </c>
      <c r="AQ179" s="149">
        <f t="shared" si="125"/>
        <v>750</v>
      </c>
      <c r="AR179" s="149">
        <f t="shared" si="126"/>
        <v>188415.99000000028</v>
      </c>
      <c r="AS179" s="133"/>
      <c r="AT179" s="152">
        <f t="shared" si="127"/>
        <v>127</v>
      </c>
      <c r="AU179" s="151">
        <f t="shared" si="93"/>
        <v>49521</v>
      </c>
      <c r="AV179" s="150">
        <f t="shared" si="128"/>
        <v>0</v>
      </c>
      <c r="AW179" s="150">
        <f t="shared" si="94"/>
        <v>0</v>
      </c>
      <c r="AX179" s="150">
        <f t="shared" si="95"/>
        <v>0</v>
      </c>
      <c r="AY179" s="150">
        <f t="shared" si="96"/>
        <v>0</v>
      </c>
      <c r="AZ179" s="150">
        <f t="shared" si="97"/>
        <v>0</v>
      </c>
      <c r="BA179" s="150">
        <f t="shared" si="129"/>
        <v>11210</v>
      </c>
      <c r="BB179" s="150">
        <f t="shared" si="98"/>
        <v>177.49</v>
      </c>
      <c r="BC179" s="150">
        <f t="shared" si="99"/>
        <v>0</v>
      </c>
      <c r="BD179" s="150">
        <f t="shared" si="100"/>
        <v>820</v>
      </c>
      <c r="BE179" s="150">
        <f t="shared" si="101"/>
        <v>10390</v>
      </c>
      <c r="BF179" s="150">
        <f t="shared" si="130"/>
        <v>0</v>
      </c>
      <c r="BG179" s="150">
        <f t="shared" si="102"/>
        <v>0</v>
      </c>
      <c r="BH179" s="150">
        <f t="shared" si="103"/>
        <v>0</v>
      </c>
      <c r="BI179" s="150">
        <f t="shared" si="104"/>
        <v>0</v>
      </c>
      <c r="BJ179" s="150">
        <f t="shared" si="105"/>
        <v>0</v>
      </c>
      <c r="BK179" s="150">
        <f t="shared" si="131"/>
        <v>115000</v>
      </c>
      <c r="BL179" s="150">
        <f t="shared" si="106"/>
        <v>575</v>
      </c>
      <c r="BM179" s="150">
        <f t="shared" si="107"/>
        <v>0</v>
      </c>
      <c r="BN179" s="150">
        <f t="shared" si="108"/>
        <v>0</v>
      </c>
      <c r="BO179" s="150">
        <f t="shared" si="109"/>
        <v>115000</v>
      </c>
      <c r="BP179" s="150">
        <f t="shared" si="132"/>
        <v>12000</v>
      </c>
      <c r="BQ179" s="150">
        <f t="shared" si="110"/>
        <v>50</v>
      </c>
      <c r="BR179" s="150">
        <f t="shared" si="111"/>
        <v>0</v>
      </c>
      <c r="BS179" s="150">
        <f t="shared" si="112"/>
        <v>0</v>
      </c>
      <c r="BT179" s="150">
        <f t="shared" si="113"/>
        <v>12000</v>
      </c>
      <c r="BU179" s="150">
        <f t="shared" si="133"/>
        <v>0</v>
      </c>
      <c r="BV179" s="150">
        <f t="shared" si="114"/>
        <v>0</v>
      </c>
      <c r="BW179" s="150">
        <f t="shared" si="115"/>
        <v>0</v>
      </c>
      <c r="BX179" s="150">
        <f t="shared" si="116"/>
        <v>0</v>
      </c>
      <c r="BY179" s="150">
        <f t="shared" si="117"/>
        <v>0</v>
      </c>
      <c r="BZ179" s="147">
        <f t="shared" si="134"/>
        <v>820</v>
      </c>
      <c r="CA179" s="147">
        <f t="shared" si="135"/>
        <v>177158.72000000012</v>
      </c>
    </row>
    <row r="180" spans="11:79">
      <c r="K180" s="132">
        <f t="shared" si="118"/>
        <v>128</v>
      </c>
      <c r="L180" s="148">
        <f t="shared" si="68"/>
        <v>49552</v>
      </c>
      <c r="M180" s="131">
        <f t="shared" si="119"/>
        <v>17750</v>
      </c>
      <c r="N180" s="131">
        <f t="shared" si="69"/>
        <v>325.42</v>
      </c>
      <c r="O180" s="131">
        <f t="shared" si="70"/>
        <v>0</v>
      </c>
      <c r="P180" s="131">
        <f t="shared" si="71"/>
        <v>750</v>
      </c>
      <c r="Q180" s="131">
        <f t="shared" si="72"/>
        <v>17000</v>
      </c>
      <c r="R180" s="131">
        <f t="shared" si="120"/>
        <v>0</v>
      </c>
      <c r="S180" s="131">
        <f t="shared" si="73"/>
        <v>0</v>
      </c>
      <c r="T180" s="131">
        <f t="shared" si="74"/>
        <v>0</v>
      </c>
      <c r="U180" s="131">
        <f t="shared" si="75"/>
        <v>0</v>
      </c>
      <c r="V180" s="131">
        <f t="shared" si="76"/>
        <v>0</v>
      </c>
      <c r="W180" s="131">
        <f t="shared" si="121"/>
        <v>0</v>
      </c>
      <c r="X180" s="131">
        <f t="shared" si="77"/>
        <v>0</v>
      </c>
      <c r="Y180" s="131">
        <f t="shared" si="78"/>
        <v>0</v>
      </c>
      <c r="Z180" s="131">
        <f t="shared" si="79"/>
        <v>0</v>
      </c>
      <c r="AA180" s="131">
        <f t="shared" si="80"/>
        <v>0</v>
      </c>
      <c r="AB180" s="131">
        <f t="shared" si="122"/>
        <v>115000</v>
      </c>
      <c r="AC180" s="131">
        <f t="shared" si="81"/>
        <v>575</v>
      </c>
      <c r="AD180" s="131">
        <f t="shared" si="82"/>
        <v>0</v>
      </c>
      <c r="AE180" s="131">
        <f t="shared" si="83"/>
        <v>0</v>
      </c>
      <c r="AF180" s="131">
        <f t="shared" si="84"/>
        <v>115000</v>
      </c>
      <c r="AG180" s="131">
        <f t="shared" si="123"/>
        <v>0</v>
      </c>
      <c r="AH180" s="131">
        <f t="shared" si="85"/>
        <v>0</v>
      </c>
      <c r="AI180" s="131">
        <f t="shared" si="86"/>
        <v>0</v>
      </c>
      <c r="AJ180" s="131">
        <f t="shared" si="87"/>
        <v>0</v>
      </c>
      <c r="AK180" s="131">
        <f t="shared" si="88"/>
        <v>0</v>
      </c>
      <c r="AL180" s="131">
        <f t="shared" si="124"/>
        <v>0</v>
      </c>
      <c r="AM180" s="131">
        <f t="shared" si="89"/>
        <v>0</v>
      </c>
      <c r="AN180" s="131">
        <f t="shared" si="90"/>
        <v>0</v>
      </c>
      <c r="AO180" s="131">
        <f t="shared" si="91"/>
        <v>0</v>
      </c>
      <c r="AP180" s="131">
        <f t="shared" si="92"/>
        <v>0</v>
      </c>
      <c r="AQ180" s="149">
        <f t="shared" si="125"/>
        <v>750</v>
      </c>
      <c r="AR180" s="149">
        <f t="shared" si="126"/>
        <v>189316.41000000029</v>
      </c>
      <c r="AS180" s="133"/>
      <c r="AT180" s="132">
        <f t="shared" si="127"/>
        <v>128</v>
      </c>
      <c r="AU180" s="148">
        <f t="shared" si="93"/>
        <v>49552</v>
      </c>
      <c r="AV180" s="131">
        <f t="shared" si="128"/>
        <v>0</v>
      </c>
      <c r="AW180" s="131">
        <f t="shared" si="94"/>
        <v>0</v>
      </c>
      <c r="AX180" s="131">
        <f t="shared" si="95"/>
        <v>0</v>
      </c>
      <c r="AY180" s="131">
        <f t="shared" si="96"/>
        <v>0</v>
      </c>
      <c r="AZ180" s="131">
        <f t="shared" si="97"/>
        <v>0</v>
      </c>
      <c r="BA180" s="131">
        <f t="shared" si="129"/>
        <v>10390</v>
      </c>
      <c r="BB180" s="131">
        <f t="shared" si="98"/>
        <v>164.51</v>
      </c>
      <c r="BC180" s="131">
        <f t="shared" si="99"/>
        <v>0</v>
      </c>
      <c r="BD180" s="131">
        <f t="shared" si="100"/>
        <v>820</v>
      </c>
      <c r="BE180" s="131">
        <f t="shared" si="101"/>
        <v>9570</v>
      </c>
      <c r="BF180" s="131">
        <f t="shared" si="130"/>
        <v>0</v>
      </c>
      <c r="BG180" s="131">
        <f t="shared" si="102"/>
        <v>0</v>
      </c>
      <c r="BH180" s="131">
        <f t="shared" si="103"/>
        <v>0</v>
      </c>
      <c r="BI180" s="131">
        <f t="shared" si="104"/>
        <v>0</v>
      </c>
      <c r="BJ180" s="131">
        <f t="shared" si="105"/>
        <v>0</v>
      </c>
      <c r="BK180" s="131">
        <f t="shared" si="131"/>
        <v>115000</v>
      </c>
      <c r="BL180" s="131">
        <f t="shared" si="106"/>
        <v>575</v>
      </c>
      <c r="BM180" s="131">
        <f t="shared" si="107"/>
        <v>0</v>
      </c>
      <c r="BN180" s="131">
        <f t="shared" si="108"/>
        <v>0</v>
      </c>
      <c r="BO180" s="131">
        <f t="shared" si="109"/>
        <v>115000</v>
      </c>
      <c r="BP180" s="131">
        <f t="shared" si="132"/>
        <v>12000</v>
      </c>
      <c r="BQ180" s="131">
        <f t="shared" si="110"/>
        <v>50</v>
      </c>
      <c r="BR180" s="131">
        <f t="shared" si="111"/>
        <v>0</v>
      </c>
      <c r="BS180" s="131">
        <f t="shared" si="112"/>
        <v>0</v>
      </c>
      <c r="BT180" s="131">
        <f t="shared" si="113"/>
        <v>12000</v>
      </c>
      <c r="BU180" s="131">
        <f t="shared" si="133"/>
        <v>0</v>
      </c>
      <c r="BV180" s="131">
        <f t="shared" si="114"/>
        <v>0</v>
      </c>
      <c r="BW180" s="131">
        <f t="shared" si="115"/>
        <v>0</v>
      </c>
      <c r="BX180" s="131">
        <f t="shared" si="116"/>
        <v>0</v>
      </c>
      <c r="BY180" s="131">
        <f t="shared" si="117"/>
        <v>0</v>
      </c>
      <c r="BZ180" s="147">
        <f t="shared" si="134"/>
        <v>820</v>
      </c>
      <c r="CA180" s="147">
        <f t="shared" si="135"/>
        <v>177948.23000000013</v>
      </c>
    </row>
    <row r="181" spans="11:79">
      <c r="K181" s="152">
        <f t="shared" si="118"/>
        <v>129</v>
      </c>
      <c r="L181" s="151">
        <f t="shared" ref="L181:L244" si="136">IF(K181="","",EOMONTH(DATE(2025,1,1),K181-1))</f>
        <v>49582</v>
      </c>
      <c r="M181" s="150">
        <f t="shared" si="119"/>
        <v>17000</v>
      </c>
      <c r="N181" s="150">
        <f t="shared" ref="N181:N244" si="137">IF(M181&lt;=0.01,0,ROUND(M181*$D$13/12,2))</f>
        <v>311.67</v>
      </c>
      <c r="O181" s="150">
        <f t="shared" ref="O181:O244" si="138">IF(M181&lt;=0.01,0,MAX(0,MIN(M181,MAX(0,$E$13-N181))))</f>
        <v>0</v>
      </c>
      <c r="P181" s="150">
        <f t="shared" ref="P181:P244" si="139">IF(M181&lt;=0.01,0,IF(($F$13=MIN(IF(M181&gt;0.01,$F$13,999),IF(R181&gt;0.01,$F$14,999),IF(W181&gt;0.01,$F$15,999),IF(AB181&gt;0.01,$F$16,999),IF(AG181&gt;0.01,$F$17,999),IF(AL181&gt;0.01,$F$18,999))),MIN(MAX(0,M181-O181),AQ181),0))</f>
        <v>750</v>
      </c>
      <c r="Q181" s="150">
        <f t="shared" ref="Q181:Q244" si="140">MAX(0,ROUND(M181-O181-P181,2))</f>
        <v>16250</v>
      </c>
      <c r="R181" s="150">
        <f t="shared" si="120"/>
        <v>0</v>
      </c>
      <c r="S181" s="150">
        <f t="shared" ref="S181:S244" si="141">IF(R181&lt;=0.01,0,ROUND(R181*$D$14/12,2))</f>
        <v>0</v>
      </c>
      <c r="T181" s="150">
        <f t="shared" ref="T181:T244" si="142">IF(R181&lt;=0.01,0,MAX(0,MIN(R181,MAX(0,$E$14-S181))))</f>
        <v>0</v>
      </c>
      <c r="U181" s="150">
        <f t="shared" ref="U181:U244" si="143">IF(R181&lt;=0.01,0,IF(($F$14=MIN(IF(M181&gt;0.01,$F$13,999),IF(R181&gt;0.01,$F$14,999),IF(W181&gt;0.01,$F$15,999),IF(AB181&gt;0.01,$F$16,999),IF(AG181&gt;0.01,$F$17,999),IF(AL181&gt;0.01,$F$18,999))),MIN(MAX(0,R181-T181),AQ181),0))</f>
        <v>0</v>
      </c>
      <c r="V181" s="150">
        <f t="shared" ref="V181:V244" si="144">MAX(0,ROUND(R181-T181-U181,2))</f>
        <v>0</v>
      </c>
      <c r="W181" s="150">
        <f t="shared" si="121"/>
        <v>0</v>
      </c>
      <c r="X181" s="150">
        <f t="shared" ref="X181:X244" si="145">IF(W181&lt;=0.01,0,ROUND(W181*$D$15/12,2))</f>
        <v>0</v>
      </c>
      <c r="Y181" s="150">
        <f t="shared" ref="Y181:Y244" si="146">IF(W181&lt;=0.01,0,MAX(0,MIN(W181,MAX(0,$E$15-X181))))</f>
        <v>0</v>
      </c>
      <c r="Z181" s="150">
        <f t="shared" ref="Z181:Z244" si="147">IF(W181&lt;=0.01,0,IF(($F$15=MIN(IF(M181&gt;0.01,$F$13,999),IF(R181&gt;0.01,$F$14,999),IF(W181&gt;0.01,$F$15,999),IF(AB181&gt;0.01,$F$16,999),IF(AG181&gt;0.01,$F$17,999),IF(AL181&gt;0.01,$F$18,999))),MIN(MAX(0,W181-Y181),AQ181),0))</f>
        <v>0</v>
      </c>
      <c r="AA181" s="150">
        <f t="shared" ref="AA181:AA244" si="148">MAX(0,ROUND(W181-Y181-Z181,2))</f>
        <v>0</v>
      </c>
      <c r="AB181" s="150">
        <f t="shared" si="122"/>
        <v>115000</v>
      </c>
      <c r="AC181" s="150">
        <f t="shared" ref="AC181:AC244" si="149">IF(AB181&lt;=0.01,0,ROUND(AB181*$D$16/12,2))</f>
        <v>575</v>
      </c>
      <c r="AD181" s="150">
        <f t="shared" ref="AD181:AD244" si="150">IF(AB181&lt;=0.01,0,MAX(0,MIN(AB181,MAX(0,$E$16-AC181))))</f>
        <v>0</v>
      </c>
      <c r="AE181" s="150">
        <f t="shared" ref="AE181:AE244" si="151">IF(AB181&lt;=0.01,0,IF(($F$16=MIN(IF(M181&gt;0.01,$F$13,999),IF(R181&gt;0.01,$F$14,999),IF(W181&gt;0.01,$F$15,999),IF(AB181&gt;0.01,$F$16,999),IF(AG181&gt;0.01,$F$17,999),IF(AL181&gt;0.01,$F$18,999))),MIN(MAX(0,AB181-AD181),AQ181),0))</f>
        <v>0</v>
      </c>
      <c r="AF181" s="150">
        <f t="shared" ref="AF181:AF244" si="152">MAX(0,ROUND(AB181-AD181-AE181,2))</f>
        <v>115000</v>
      </c>
      <c r="AG181" s="150">
        <f t="shared" si="123"/>
        <v>0</v>
      </c>
      <c r="AH181" s="150">
        <f t="shared" ref="AH181:AH244" si="153">IF(AG181&lt;=0.01,0,ROUND(AG181*$D$17/12,2))</f>
        <v>0</v>
      </c>
      <c r="AI181" s="150">
        <f t="shared" ref="AI181:AI244" si="154">IF(AG181&lt;=0.01,0,MAX(0,MIN(AG181,MAX(0,$E$17-AH181))))</f>
        <v>0</v>
      </c>
      <c r="AJ181" s="150">
        <f t="shared" ref="AJ181:AJ244" si="155">IF(AG181&lt;=0.01,0,IF(($F$17=MIN(IF(M181&gt;0.01,$F$13,999),IF(R181&gt;0.01,$F$14,999),IF(W181&gt;0.01,$F$15,999),IF(AB181&gt;0.01,$F$16,999),IF(AG181&gt;0.01,$F$17,999),IF(AL181&gt;0.01,$F$18,999))),MIN(MAX(0,AG181-AI181),AQ181),0))</f>
        <v>0</v>
      </c>
      <c r="AK181" s="150">
        <f t="shared" ref="AK181:AK244" si="156">MAX(0,ROUND(AG181-AI181-AJ181,2))</f>
        <v>0</v>
      </c>
      <c r="AL181" s="150">
        <f t="shared" si="124"/>
        <v>0</v>
      </c>
      <c r="AM181" s="150">
        <f t="shared" ref="AM181:AM244" si="157">IF(AL181&lt;=0.01,0,ROUND(AL181*$D$18/12,2))</f>
        <v>0</v>
      </c>
      <c r="AN181" s="150">
        <f t="shared" ref="AN181:AN244" si="158">IF(AL181&lt;=0.01,0,MAX(0,MIN(AL181,MAX(0,$E$18-AM181))))</f>
        <v>0</v>
      </c>
      <c r="AO181" s="150">
        <f t="shared" ref="AO181:AO244" si="159">IF(AL181&lt;=0.01,0,IF(($F$18=MIN(IF(M181&gt;0.01,$F$13,999),IF(R181&gt;0.01,$F$14,999),IF(W181&gt;0.01,$F$15,999),IF(AB181&gt;0.01,$F$16,999),IF(AG181&gt;0.01,$F$17,999),IF(AL181&gt;0.01,$F$18,999))),MIN(MAX(0,AL181-AN181),AQ181),0))</f>
        <v>0</v>
      </c>
      <c r="AP181" s="150">
        <f t="shared" ref="AP181:AP244" si="160">MAX(0,ROUND(AL181-AN181-AO181,2))</f>
        <v>0</v>
      </c>
      <c r="AQ181" s="149">
        <f t="shared" si="125"/>
        <v>750</v>
      </c>
      <c r="AR181" s="149">
        <f t="shared" si="126"/>
        <v>190203.08000000031</v>
      </c>
      <c r="AS181" s="133"/>
      <c r="AT181" s="152">
        <f t="shared" si="127"/>
        <v>129</v>
      </c>
      <c r="AU181" s="151">
        <f t="shared" ref="AU181:AU244" si="161">IF(AT181="","",EOMONTH(DATE(2025,1,1),AT181-1))</f>
        <v>49582</v>
      </c>
      <c r="AV181" s="150">
        <f t="shared" si="128"/>
        <v>0</v>
      </c>
      <c r="AW181" s="150">
        <f t="shared" ref="AW181:AW244" si="162">IF(AV181&lt;=0.01,0,ROUND(AV181*$D$13/12,2))</f>
        <v>0</v>
      </c>
      <c r="AX181" s="150">
        <f t="shared" ref="AX181:AX244" si="163">IF(AV181&lt;=0.01,0,MAX(0,MIN(AV181,MAX(0,$E$13-AW181))))</f>
        <v>0</v>
      </c>
      <c r="AY181" s="150">
        <f t="shared" ref="AY181:AY244" si="164">IF(AV181&lt;=0.01,0,IF(($G$13=MIN(IF(AV181&gt;0.01,$G$13,999),IF(BA181&gt;0.01,$G$14,999),IF(BF181&gt;0.01,$G$15,999),IF(BK181&gt;0.01,$G$16,999),IF(BP181&gt;0.01,$G$17,999),IF(BU181&gt;0.01,$G$18,999))),MIN(MAX(0,AV181-AX181),BZ181),0))</f>
        <v>0</v>
      </c>
      <c r="AZ181" s="150">
        <f t="shared" ref="AZ181:AZ244" si="165">MAX(0,ROUND(AV181-AX181-AY181,2))</f>
        <v>0</v>
      </c>
      <c r="BA181" s="150">
        <f t="shared" si="129"/>
        <v>9570</v>
      </c>
      <c r="BB181" s="150">
        <f t="shared" ref="BB181:BB244" si="166">IF(BA181&lt;=0.01,0,ROUND(BA181*$D$14/12,2))</f>
        <v>151.53</v>
      </c>
      <c r="BC181" s="150">
        <f t="shared" ref="BC181:BC244" si="167">IF(BA181&lt;=0.01,0,MAX(0,MIN(BA181,MAX(0,$E$14-BB181))))</f>
        <v>0</v>
      </c>
      <c r="BD181" s="150">
        <f t="shared" ref="BD181:BD244" si="168">IF(BA181&lt;=0.01,0,IF(($G$14=MIN(IF(AV181&gt;0.01,$G$13,999),IF(BA181&gt;0.01,$G$14,999),IF(BF181&gt;0.01,$G$15,999),IF(BK181&gt;0.01,$G$16,999),IF(BP181&gt;0.01,$G$17,999),IF(BU181&gt;0.01,$G$18,999))),MIN(MAX(0,BA181-BC181),BZ181),0))</f>
        <v>820</v>
      </c>
      <c r="BE181" s="150">
        <f t="shared" ref="BE181:BE244" si="169">MAX(0,ROUND(BA181-BC181-BD181,2))</f>
        <v>8750</v>
      </c>
      <c r="BF181" s="150">
        <f t="shared" si="130"/>
        <v>0</v>
      </c>
      <c r="BG181" s="150">
        <f t="shared" ref="BG181:BG244" si="170">IF(BF181&lt;=0.01,0,ROUND(BF181*$D$15/12,2))</f>
        <v>0</v>
      </c>
      <c r="BH181" s="150">
        <f t="shared" ref="BH181:BH244" si="171">IF(BF181&lt;=0.01,0,MAX(0,MIN(BF181,MAX(0,$E$15-BG181))))</f>
        <v>0</v>
      </c>
      <c r="BI181" s="150">
        <f t="shared" ref="BI181:BI244" si="172">IF(BF181&lt;=0.01,0,IF(($G$15=MIN(IF(AV181&gt;0.01,$G$13,999),IF(BA181&gt;0.01,$G$14,999),IF(BF181&gt;0.01,$G$15,999),IF(BK181&gt;0.01,$G$16,999),IF(BP181&gt;0.01,$G$17,999),IF(BU181&gt;0.01,$G$18,999))),MIN(MAX(0,BF181-BH181),BZ181),0))</f>
        <v>0</v>
      </c>
      <c r="BJ181" s="150">
        <f t="shared" ref="BJ181:BJ244" si="173">MAX(0,ROUND(BF181-BH181-BI181,2))</f>
        <v>0</v>
      </c>
      <c r="BK181" s="150">
        <f t="shared" si="131"/>
        <v>115000</v>
      </c>
      <c r="BL181" s="150">
        <f t="shared" ref="BL181:BL244" si="174">IF(BK181&lt;=0.01,0,ROUND(BK181*$D$16/12,2))</f>
        <v>575</v>
      </c>
      <c r="BM181" s="150">
        <f t="shared" ref="BM181:BM244" si="175">IF(BK181&lt;=0.01,0,MAX(0,MIN(BK181,MAX(0,$E$16-BL181))))</f>
        <v>0</v>
      </c>
      <c r="BN181" s="150">
        <f t="shared" ref="BN181:BN244" si="176">IF(BK181&lt;=0.01,0,IF(($G$16=MIN(IF(AV181&gt;0.01,$G$13,999),IF(BA181&gt;0.01,$G$14,999),IF(BF181&gt;0.01,$G$15,999),IF(BK181&gt;0.01,$G$16,999),IF(BP181&gt;0.01,$G$17,999),IF(BU181&gt;0.01,$G$18,999))),MIN(MAX(0,BK181-BM181),BZ181),0))</f>
        <v>0</v>
      </c>
      <c r="BO181" s="150">
        <f t="shared" ref="BO181:BO244" si="177">MAX(0,ROUND(BK181-BM181-BN181,2))</f>
        <v>115000</v>
      </c>
      <c r="BP181" s="150">
        <f t="shared" si="132"/>
        <v>12000</v>
      </c>
      <c r="BQ181" s="150">
        <f t="shared" ref="BQ181:BQ244" si="178">IF(BP181&lt;=0.01,0,ROUND(BP181*$D$17/12,2))</f>
        <v>50</v>
      </c>
      <c r="BR181" s="150">
        <f t="shared" ref="BR181:BR244" si="179">IF(BP181&lt;=0.01,0,MAX(0,MIN(BP181,MAX(0,$E$17-BQ181))))</f>
        <v>0</v>
      </c>
      <c r="BS181" s="150">
        <f t="shared" ref="BS181:BS244" si="180">IF(BP181&lt;=0.01,0,IF(($G$17=MIN(IF(AV181&gt;0.01,$G$13,999),IF(BA181&gt;0.01,$G$14,999),IF(BF181&gt;0.01,$G$15,999),IF(BK181&gt;0.01,$G$16,999),IF(BP181&gt;0.01,$G$17,999),IF(BU181&gt;0.01,$G$18,999))),MIN(MAX(0,BP181-BR181),BZ181),0))</f>
        <v>0</v>
      </c>
      <c r="BT181" s="150">
        <f t="shared" ref="BT181:BT244" si="181">MAX(0,ROUND(BP181-BR181-BS181,2))</f>
        <v>12000</v>
      </c>
      <c r="BU181" s="150">
        <f t="shared" si="133"/>
        <v>0</v>
      </c>
      <c r="BV181" s="150">
        <f t="shared" ref="BV181:BV244" si="182">IF(BU181&lt;=0.01,0,ROUND(BU181*$D$18/12,2))</f>
        <v>0</v>
      </c>
      <c r="BW181" s="150">
        <f t="shared" ref="BW181:BW244" si="183">IF(BU181&lt;=0.01,0,MAX(0,MIN(BU181,MAX(0,$E$18-BV181))))</f>
        <v>0</v>
      </c>
      <c r="BX181" s="150">
        <f t="shared" ref="BX181:BX244" si="184">IF(BU181&lt;=0.01,0,IF(($G$18=MIN(IF(AV181&gt;0.01,$G$13,999),IF(BA181&gt;0.01,$G$14,999),IF(BF181&gt;0.01,$G$15,999),IF(BK181&gt;0.01,$G$16,999),IF(BP181&gt;0.01,$G$17,999),IF(BU181&gt;0.01,$G$18,999))),MIN(MAX(0,BU181-BW181),BZ181),0))</f>
        <v>0</v>
      </c>
      <c r="BY181" s="150">
        <f t="shared" ref="BY181:BY244" si="185">MAX(0,ROUND(BU181-BW181-BX181,2))</f>
        <v>0</v>
      </c>
      <c r="BZ181" s="147">
        <f t="shared" si="134"/>
        <v>820</v>
      </c>
      <c r="CA181" s="147">
        <f t="shared" si="135"/>
        <v>178724.76000000013</v>
      </c>
    </row>
    <row r="182" spans="11:79">
      <c r="K182" s="132">
        <f t="shared" ref="K182:K245" si="186">IF((Q181+V181+AA181+AF181+AK181+AP181)&lt;=0.01,"",K181+1)</f>
        <v>130</v>
      </c>
      <c r="L182" s="148">
        <f t="shared" si="136"/>
        <v>49613</v>
      </c>
      <c r="M182" s="131">
        <f t="shared" ref="M182:M245" si="187">MAX(0,Q181)</f>
        <v>16250</v>
      </c>
      <c r="N182" s="131">
        <f t="shared" si="137"/>
        <v>297.92</v>
      </c>
      <c r="O182" s="131">
        <f t="shared" si="138"/>
        <v>0</v>
      </c>
      <c r="P182" s="131">
        <f t="shared" si="139"/>
        <v>750</v>
      </c>
      <c r="Q182" s="131">
        <f t="shared" si="140"/>
        <v>15500</v>
      </c>
      <c r="R182" s="131">
        <f t="shared" ref="R182:R245" si="188">MAX(0,V181)</f>
        <v>0</v>
      </c>
      <c r="S182" s="131">
        <f t="shared" si="141"/>
        <v>0</v>
      </c>
      <c r="T182" s="131">
        <f t="shared" si="142"/>
        <v>0</v>
      </c>
      <c r="U182" s="131">
        <f t="shared" si="143"/>
        <v>0</v>
      </c>
      <c r="V182" s="131">
        <f t="shared" si="144"/>
        <v>0</v>
      </c>
      <c r="W182" s="131">
        <f t="shared" ref="W182:W245" si="189">MAX(0,AA181)</f>
        <v>0</v>
      </c>
      <c r="X182" s="131">
        <f t="shared" si="145"/>
        <v>0</v>
      </c>
      <c r="Y182" s="131">
        <f t="shared" si="146"/>
        <v>0</v>
      </c>
      <c r="Z182" s="131">
        <f t="shared" si="147"/>
        <v>0</v>
      </c>
      <c r="AA182" s="131">
        <f t="shared" si="148"/>
        <v>0</v>
      </c>
      <c r="AB182" s="131">
        <f t="shared" ref="AB182:AB245" si="190">MAX(0,AF181)</f>
        <v>115000</v>
      </c>
      <c r="AC182" s="131">
        <f t="shared" si="149"/>
        <v>575</v>
      </c>
      <c r="AD182" s="131">
        <f t="shared" si="150"/>
        <v>0</v>
      </c>
      <c r="AE182" s="131">
        <f t="shared" si="151"/>
        <v>0</v>
      </c>
      <c r="AF182" s="131">
        <f t="shared" si="152"/>
        <v>115000</v>
      </c>
      <c r="AG182" s="131">
        <f t="shared" ref="AG182:AG245" si="191">MAX(0,AK181)</f>
        <v>0</v>
      </c>
      <c r="AH182" s="131">
        <f t="shared" si="153"/>
        <v>0</v>
      </c>
      <c r="AI182" s="131">
        <f t="shared" si="154"/>
        <v>0</v>
      </c>
      <c r="AJ182" s="131">
        <f t="shared" si="155"/>
        <v>0</v>
      </c>
      <c r="AK182" s="131">
        <f t="shared" si="156"/>
        <v>0</v>
      </c>
      <c r="AL182" s="131">
        <f t="shared" ref="AL182:AL245" si="192">MAX(0,AP181)</f>
        <v>0</v>
      </c>
      <c r="AM182" s="131">
        <f t="shared" si="157"/>
        <v>0</v>
      </c>
      <c r="AN182" s="131">
        <f t="shared" si="158"/>
        <v>0</v>
      </c>
      <c r="AO182" s="131">
        <f t="shared" si="159"/>
        <v>0</v>
      </c>
      <c r="AP182" s="131">
        <f t="shared" si="160"/>
        <v>0</v>
      </c>
      <c r="AQ182" s="149">
        <f t="shared" ref="AQ182:AQ245" si="193">IF(K182="","",$C$9+IF(AND($C$13&gt;0,Q181&lt;=0.01),$E$13,0)+IF(AND($C$14&gt;0,V181&lt;=0.01),$E$14,0)+IF(AND($C$15&gt;0,AA181&lt;=0.01),$E$15,0)+IF(AND($C$16&gt;0,AF181&lt;=0.01),$E$16,0)+IF(AND($C$17&gt;0,AK181&lt;=0.01),$E$17,0)+IF(AND($C$18&gt;0,AP181&lt;=0.01),$E$18,0))</f>
        <v>750</v>
      </c>
      <c r="AR182" s="149">
        <f t="shared" ref="AR182:AR245" si="194">IFERROR(AR181+ROUND(N182+S182+X182+AC182+AH182+AM182,2),0)</f>
        <v>191076.00000000032</v>
      </c>
      <c r="AS182" s="133"/>
      <c r="AT182" s="132">
        <f t="shared" ref="AT182:AT245" si="195">IF((AZ181+BE181+BJ181+BO181+BT181+BY181)&lt;=0.01,"",AT181+1)</f>
        <v>130</v>
      </c>
      <c r="AU182" s="148">
        <f t="shared" si="161"/>
        <v>49613</v>
      </c>
      <c r="AV182" s="131">
        <f t="shared" ref="AV182:AV245" si="196">MAX(0,AZ181)</f>
        <v>0</v>
      </c>
      <c r="AW182" s="131">
        <f t="shared" si="162"/>
        <v>0</v>
      </c>
      <c r="AX182" s="131">
        <f t="shared" si="163"/>
        <v>0</v>
      </c>
      <c r="AY182" s="131">
        <f t="shared" si="164"/>
        <v>0</v>
      </c>
      <c r="AZ182" s="131">
        <f t="shared" si="165"/>
        <v>0</v>
      </c>
      <c r="BA182" s="131">
        <f t="shared" ref="BA182:BA245" si="197">MAX(0,BE181)</f>
        <v>8750</v>
      </c>
      <c r="BB182" s="131">
        <f t="shared" si="166"/>
        <v>138.54</v>
      </c>
      <c r="BC182" s="131">
        <f t="shared" si="167"/>
        <v>0</v>
      </c>
      <c r="BD182" s="131">
        <f t="shared" si="168"/>
        <v>820</v>
      </c>
      <c r="BE182" s="131">
        <f t="shared" si="169"/>
        <v>7930</v>
      </c>
      <c r="BF182" s="131">
        <f t="shared" ref="BF182:BF245" si="198">MAX(0,BJ181)</f>
        <v>0</v>
      </c>
      <c r="BG182" s="131">
        <f t="shared" si="170"/>
        <v>0</v>
      </c>
      <c r="BH182" s="131">
        <f t="shared" si="171"/>
        <v>0</v>
      </c>
      <c r="BI182" s="131">
        <f t="shared" si="172"/>
        <v>0</v>
      </c>
      <c r="BJ182" s="131">
        <f t="shared" si="173"/>
        <v>0</v>
      </c>
      <c r="BK182" s="131">
        <f t="shared" ref="BK182:BK245" si="199">MAX(0,BO181)</f>
        <v>115000</v>
      </c>
      <c r="BL182" s="131">
        <f t="shared" si="174"/>
        <v>575</v>
      </c>
      <c r="BM182" s="131">
        <f t="shared" si="175"/>
        <v>0</v>
      </c>
      <c r="BN182" s="131">
        <f t="shared" si="176"/>
        <v>0</v>
      </c>
      <c r="BO182" s="131">
        <f t="shared" si="177"/>
        <v>115000</v>
      </c>
      <c r="BP182" s="131">
        <f t="shared" ref="BP182:BP245" si="200">MAX(0,BT181)</f>
        <v>12000</v>
      </c>
      <c r="BQ182" s="131">
        <f t="shared" si="178"/>
        <v>50</v>
      </c>
      <c r="BR182" s="131">
        <f t="shared" si="179"/>
        <v>0</v>
      </c>
      <c r="BS182" s="131">
        <f t="shared" si="180"/>
        <v>0</v>
      </c>
      <c r="BT182" s="131">
        <f t="shared" si="181"/>
        <v>12000</v>
      </c>
      <c r="BU182" s="131">
        <f t="shared" ref="BU182:BU245" si="201">MAX(0,BY181)</f>
        <v>0</v>
      </c>
      <c r="BV182" s="131">
        <f t="shared" si="182"/>
        <v>0</v>
      </c>
      <c r="BW182" s="131">
        <f t="shared" si="183"/>
        <v>0</v>
      </c>
      <c r="BX182" s="131">
        <f t="shared" si="184"/>
        <v>0</v>
      </c>
      <c r="BY182" s="131">
        <f t="shared" si="185"/>
        <v>0</v>
      </c>
      <c r="BZ182" s="147">
        <f t="shared" ref="BZ182:BZ245" si="202">IF(AT182="","",$C$9+IF(AND($C$13&gt;0,AZ181&lt;=0.01),$E$13,0)+IF(AND($C$14&gt;0,BE181&lt;=0.01),$E$14,0)+IF(AND($C$15&gt;0,BJ181&lt;=0.01),$E$15,0)+IF(AND($C$16&gt;0,BO181&lt;=0.01),$E$16,0)+IF(AND($C$17&gt;0,BT181&lt;=0.01),$E$17,0)+IF(AND($C$18&gt;0,BY181&lt;=0.01),$E$18,0))</f>
        <v>820</v>
      </c>
      <c r="CA182" s="147">
        <f t="shared" ref="CA182:CA245" si="203">IFERROR(CA181+ROUND(AW182+BB182+BG182+BL182+BQ182+BV182,2),0)</f>
        <v>179488.30000000013</v>
      </c>
    </row>
    <row r="183" spans="11:79">
      <c r="K183" s="152">
        <f t="shared" si="186"/>
        <v>131</v>
      </c>
      <c r="L183" s="151">
        <f t="shared" si="136"/>
        <v>49643</v>
      </c>
      <c r="M183" s="150">
        <f t="shared" si="187"/>
        <v>15500</v>
      </c>
      <c r="N183" s="150">
        <f t="shared" si="137"/>
        <v>284.17</v>
      </c>
      <c r="O183" s="150">
        <f t="shared" si="138"/>
        <v>0</v>
      </c>
      <c r="P183" s="150">
        <f t="shared" si="139"/>
        <v>750</v>
      </c>
      <c r="Q183" s="150">
        <f t="shared" si="140"/>
        <v>14750</v>
      </c>
      <c r="R183" s="150">
        <f t="shared" si="188"/>
        <v>0</v>
      </c>
      <c r="S183" s="150">
        <f t="shared" si="141"/>
        <v>0</v>
      </c>
      <c r="T183" s="150">
        <f t="shared" si="142"/>
        <v>0</v>
      </c>
      <c r="U183" s="150">
        <f t="shared" si="143"/>
        <v>0</v>
      </c>
      <c r="V183" s="150">
        <f t="shared" si="144"/>
        <v>0</v>
      </c>
      <c r="W183" s="150">
        <f t="shared" si="189"/>
        <v>0</v>
      </c>
      <c r="X183" s="150">
        <f t="shared" si="145"/>
        <v>0</v>
      </c>
      <c r="Y183" s="150">
        <f t="shared" si="146"/>
        <v>0</v>
      </c>
      <c r="Z183" s="150">
        <f t="shared" si="147"/>
        <v>0</v>
      </c>
      <c r="AA183" s="150">
        <f t="shared" si="148"/>
        <v>0</v>
      </c>
      <c r="AB183" s="150">
        <f t="shared" si="190"/>
        <v>115000</v>
      </c>
      <c r="AC183" s="150">
        <f t="shared" si="149"/>
        <v>575</v>
      </c>
      <c r="AD183" s="150">
        <f t="shared" si="150"/>
        <v>0</v>
      </c>
      <c r="AE183" s="150">
        <f t="shared" si="151"/>
        <v>0</v>
      </c>
      <c r="AF183" s="150">
        <f t="shared" si="152"/>
        <v>115000</v>
      </c>
      <c r="AG183" s="150">
        <f t="shared" si="191"/>
        <v>0</v>
      </c>
      <c r="AH183" s="150">
        <f t="shared" si="153"/>
        <v>0</v>
      </c>
      <c r="AI183" s="150">
        <f t="shared" si="154"/>
        <v>0</v>
      </c>
      <c r="AJ183" s="150">
        <f t="shared" si="155"/>
        <v>0</v>
      </c>
      <c r="AK183" s="150">
        <f t="shared" si="156"/>
        <v>0</v>
      </c>
      <c r="AL183" s="150">
        <f t="shared" si="192"/>
        <v>0</v>
      </c>
      <c r="AM183" s="150">
        <f t="shared" si="157"/>
        <v>0</v>
      </c>
      <c r="AN183" s="150">
        <f t="shared" si="158"/>
        <v>0</v>
      </c>
      <c r="AO183" s="150">
        <f t="shared" si="159"/>
        <v>0</v>
      </c>
      <c r="AP183" s="150">
        <f t="shared" si="160"/>
        <v>0</v>
      </c>
      <c r="AQ183" s="149">
        <f t="shared" si="193"/>
        <v>750</v>
      </c>
      <c r="AR183" s="149">
        <f t="shared" si="194"/>
        <v>191935.17000000033</v>
      </c>
      <c r="AS183" s="133"/>
      <c r="AT183" s="152">
        <f t="shared" si="195"/>
        <v>131</v>
      </c>
      <c r="AU183" s="151">
        <f t="shared" si="161"/>
        <v>49643</v>
      </c>
      <c r="AV183" s="150">
        <f t="shared" si="196"/>
        <v>0</v>
      </c>
      <c r="AW183" s="150">
        <f t="shared" si="162"/>
        <v>0</v>
      </c>
      <c r="AX183" s="150">
        <f t="shared" si="163"/>
        <v>0</v>
      </c>
      <c r="AY183" s="150">
        <f t="shared" si="164"/>
        <v>0</v>
      </c>
      <c r="AZ183" s="150">
        <f t="shared" si="165"/>
        <v>0</v>
      </c>
      <c r="BA183" s="150">
        <f t="shared" si="197"/>
        <v>7930</v>
      </c>
      <c r="BB183" s="150">
        <f t="shared" si="166"/>
        <v>125.56</v>
      </c>
      <c r="BC183" s="150">
        <f t="shared" si="167"/>
        <v>0</v>
      </c>
      <c r="BD183" s="150">
        <f t="shared" si="168"/>
        <v>820</v>
      </c>
      <c r="BE183" s="150">
        <f t="shared" si="169"/>
        <v>7110</v>
      </c>
      <c r="BF183" s="150">
        <f t="shared" si="198"/>
        <v>0</v>
      </c>
      <c r="BG183" s="150">
        <f t="shared" si="170"/>
        <v>0</v>
      </c>
      <c r="BH183" s="150">
        <f t="shared" si="171"/>
        <v>0</v>
      </c>
      <c r="BI183" s="150">
        <f t="shared" si="172"/>
        <v>0</v>
      </c>
      <c r="BJ183" s="150">
        <f t="shared" si="173"/>
        <v>0</v>
      </c>
      <c r="BK183" s="150">
        <f t="shared" si="199"/>
        <v>115000</v>
      </c>
      <c r="BL183" s="150">
        <f t="shared" si="174"/>
        <v>575</v>
      </c>
      <c r="BM183" s="150">
        <f t="shared" si="175"/>
        <v>0</v>
      </c>
      <c r="BN183" s="150">
        <f t="shared" si="176"/>
        <v>0</v>
      </c>
      <c r="BO183" s="150">
        <f t="shared" si="177"/>
        <v>115000</v>
      </c>
      <c r="BP183" s="150">
        <f t="shared" si="200"/>
        <v>12000</v>
      </c>
      <c r="BQ183" s="150">
        <f t="shared" si="178"/>
        <v>50</v>
      </c>
      <c r="BR183" s="150">
        <f t="shared" si="179"/>
        <v>0</v>
      </c>
      <c r="BS183" s="150">
        <f t="shared" si="180"/>
        <v>0</v>
      </c>
      <c r="BT183" s="150">
        <f t="shared" si="181"/>
        <v>12000</v>
      </c>
      <c r="BU183" s="150">
        <f t="shared" si="201"/>
        <v>0</v>
      </c>
      <c r="BV183" s="150">
        <f t="shared" si="182"/>
        <v>0</v>
      </c>
      <c r="BW183" s="150">
        <f t="shared" si="183"/>
        <v>0</v>
      </c>
      <c r="BX183" s="150">
        <f t="shared" si="184"/>
        <v>0</v>
      </c>
      <c r="BY183" s="150">
        <f t="shared" si="185"/>
        <v>0</v>
      </c>
      <c r="BZ183" s="147">
        <f t="shared" si="202"/>
        <v>820</v>
      </c>
      <c r="CA183" s="147">
        <f t="shared" si="203"/>
        <v>180238.86000000013</v>
      </c>
    </row>
    <row r="184" spans="11:79">
      <c r="K184" s="132">
        <f t="shared" si="186"/>
        <v>132</v>
      </c>
      <c r="L184" s="148">
        <f t="shared" si="136"/>
        <v>49674</v>
      </c>
      <c r="M184" s="131">
        <f t="shared" si="187"/>
        <v>14750</v>
      </c>
      <c r="N184" s="131">
        <f t="shared" si="137"/>
        <v>270.42</v>
      </c>
      <c r="O184" s="131">
        <f t="shared" si="138"/>
        <v>0</v>
      </c>
      <c r="P184" s="131">
        <f t="shared" si="139"/>
        <v>750</v>
      </c>
      <c r="Q184" s="131">
        <f t="shared" si="140"/>
        <v>14000</v>
      </c>
      <c r="R184" s="131">
        <f t="shared" si="188"/>
        <v>0</v>
      </c>
      <c r="S184" s="131">
        <f t="shared" si="141"/>
        <v>0</v>
      </c>
      <c r="T184" s="131">
        <f t="shared" si="142"/>
        <v>0</v>
      </c>
      <c r="U184" s="131">
        <f t="shared" si="143"/>
        <v>0</v>
      </c>
      <c r="V184" s="131">
        <f t="shared" si="144"/>
        <v>0</v>
      </c>
      <c r="W184" s="131">
        <f t="shared" si="189"/>
        <v>0</v>
      </c>
      <c r="X184" s="131">
        <f t="shared" si="145"/>
        <v>0</v>
      </c>
      <c r="Y184" s="131">
        <f t="shared" si="146"/>
        <v>0</v>
      </c>
      <c r="Z184" s="131">
        <f t="shared" si="147"/>
        <v>0</v>
      </c>
      <c r="AA184" s="131">
        <f t="shared" si="148"/>
        <v>0</v>
      </c>
      <c r="AB184" s="131">
        <f t="shared" si="190"/>
        <v>115000</v>
      </c>
      <c r="AC184" s="131">
        <f t="shared" si="149"/>
        <v>575</v>
      </c>
      <c r="AD184" s="131">
        <f t="shared" si="150"/>
        <v>0</v>
      </c>
      <c r="AE184" s="131">
        <f t="shared" si="151"/>
        <v>0</v>
      </c>
      <c r="AF184" s="131">
        <f t="shared" si="152"/>
        <v>115000</v>
      </c>
      <c r="AG184" s="131">
        <f t="shared" si="191"/>
        <v>0</v>
      </c>
      <c r="AH184" s="131">
        <f t="shared" si="153"/>
        <v>0</v>
      </c>
      <c r="AI184" s="131">
        <f t="shared" si="154"/>
        <v>0</v>
      </c>
      <c r="AJ184" s="131">
        <f t="shared" si="155"/>
        <v>0</v>
      </c>
      <c r="AK184" s="131">
        <f t="shared" si="156"/>
        <v>0</v>
      </c>
      <c r="AL184" s="131">
        <f t="shared" si="192"/>
        <v>0</v>
      </c>
      <c r="AM184" s="131">
        <f t="shared" si="157"/>
        <v>0</v>
      </c>
      <c r="AN184" s="131">
        <f t="shared" si="158"/>
        <v>0</v>
      </c>
      <c r="AO184" s="131">
        <f t="shared" si="159"/>
        <v>0</v>
      </c>
      <c r="AP184" s="131">
        <f t="shared" si="160"/>
        <v>0</v>
      </c>
      <c r="AQ184" s="149">
        <f t="shared" si="193"/>
        <v>750</v>
      </c>
      <c r="AR184" s="149">
        <f t="shared" si="194"/>
        <v>192780.59000000035</v>
      </c>
      <c r="AS184" s="133"/>
      <c r="AT184" s="132">
        <f t="shared" si="195"/>
        <v>132</v>
      </c>
      <c r="AU184" s="148">
        <f t="shared" si="161"/>
        <v>49674</v>
      </c>
      <c r="AV184" s="131">
        <f t="shared" si="196"/>
        <v>0</v>
      </c>
      <c r="AW184" s="131">
        <f t="shared" si="162"/>
        <v>0</v>
      </c>
      <c r="AX184" s="131">
        <f t="shared" si="163"/>
        <v>0</v>
      </c>
      <c r="AY184" s="131">
        <f t="shared" si="164"/>
        <v>0</v>
      </c>
      <c r="AZ184" s="131">
        <f t="shared" si="165"/>
        <v>0</v>
      </c>
      <c r="BA184" s="131">
        <f t="shared" si="197"/>
        <v>7110</v>
      </c>
      <c r="BB184" s="131">
        <f t="shared" si="166"/>
        <v>112.58</v>
      </c>
      <c r="BC184" s="131">
        <f t="shared" si="167"/>
        <v>0</v>
      </c>
      <c r="BD184" s="131">
        <f t="shared" si="168"/>
        <v>820</v>
      </c>
      <c r="BE184" s="131">
        <f t="shared" si="169"/>
        <v>6290</v>
      </c>
      <c r="BF184" s="131">
        <f t="shared" si="198"/>
        <v>0</v>
      </c>
      <c r="BG184" s="131">
        <f t="shared" si="170"/>
        <v>0</v>
      </c>
      <c r="BH184" s="131">
        <f t="shared" si="171"/>
        <v>0</v>
      </c>
      <c r="BI184" s="131">
        <f t="shared" si="172"/>
        <v>0</v>
      </c>
      <c r="BJ184" s="131">
        <f t="shared" si="173"/>
        <v>0</v>
      </c>
      <c r="BK184" s="131">
        <f t="shared" si="199"/>
        <v>115000</v>
      </c>
      <c r="BL184" s="131">
        <f t="shared" si="174"/>
        <v>575</v>
      </c>
      <c r="BM184" s="131">
        <f t="shared" si="175"/>
        <v>0</v>
      </c>
      <c r="BN184" s="131">
        <f t="shared" si="176"/>
        <v>0</v>
      </c>
      <c r="BO184" s="131">
        <f t="shared" si="177"/>
        <v>115000</v>
      </c>
      <c r="BP184" s="131">
        <f t="shared" si="200"/>
        <v>12000</v>
      </c>
      <c r="BQ184" s="131">
        <f t="shared" si="178"/>
        <v>50</v>
      </c>
      <c r="BR184" s="131">
        <f t="shared" si="179"/>
        <v>0</v>
      </c>
      <c r="BS184" s="131">
        <f t="shared" si="180"/>
        <v>0</v>
      </c>
      <c r="BT184" s="131">
        <f t="shared" si="181"/>
        <v>12000</v>
      </c>
      <c r="BU184" s="131">
        <f t="shared" si="201"/>
        <v>0</v>
      </c>
      <c r="BV184" s="131">
        <f t="shared" si="182"/>
        <v>0</v>
      </c>
      <c r="BW184" s="131">
        <f t="shared" si="183"/>
        <v>0</v>
      </c>
      <c r="BX184" s="131">
        <f t="shared" si="184"/>
        <v>0</v>
      </c>
      <c r="BY184" s="131">
        <f t="shared" si="185"/>
        <v>0</v>
      </c>
      <c r="BZ184" s="147">
        <f t="shared" si="202"/>
        <v>820</v>
      </c>
      <c r="CA184" s="147">
        <f t="shared" si="203"/>
        <v>180976.44000000012</v>
      </c>
    </row>
    <row r="185" spans="11:79">
      <c r="K185" s="152">
        <f t="shared" si="186"/>
        <v>133</v>
      </c>
      <c r="L185" s="151">
        <f t="shared" si="136"/>
        <v>49705</v>
      </c>
      <c r="M185" s="150">
        <f t="shared" si="187"/>
        <v>14000</v>
      </c>
      <c r="N185" s="150">
        <f t="shared" si="137"/>
        <v>256.67</v>
      </c>
      <c r="O185" s="150">
        <f t="shared" si="138"/>
        <v>0</v>
      </c>
      <c r="P185" s="150">
        <f t="shared" si="139"/>
        <v>750</v>
      </c>
      <c r="Q185" s="150">
        <f t="shared" si="140"/>
        <v>13250</v>
      </c>
      <c r="R185" s="150">
        <f t="shared" si="188"/>
        <v>0</v>
      </c>
      <c r="S185" s="150">
        <f t="shared" si="141"/>
        <v>0</v>
      </c>
      <c r="T185" s="150">
        <f t="shared" si="142"/>
        <v>0</v>
      </c>
      <c r="U185" s="150">
        <f t="shared" si="143"/>
        <v>0</v>
      </c>
      <c r="V185" s="150">
        <f t="shared" si="144"/>
        <v>0</v>
      </c>
      <c r="W185" s="150">
        <f t="shared" si="189"/>
        <v>0</v>
      </c>
      <c r="X185" s="150">
        <f t="shared" si="145"/>
        <v>0</v>
      </c>
      <c r="Y185" s="150">
        <f t="shared" si="146"/>
        <v>0</v>
      </c>
      <c r="Z185" s="150">
        <f t="shared" si="147"/>
        <v>0</v>
      </c>
      <c r="AA185" s="150">
        <f t="shared" si="148"/>
        <v>0</v>
      </c>
      <c r="AB185" s="150">
        <f t="shared" si="190"/>
        <v>115000</v>
      </c>
      <c r="AC185" s="150">
        <f t="shared" si="149"/>
        <v>575</v>
      </c>
      <c r="AD185" s="150">
        <f t="shared" si="150"/>
        <v>0</v>
      </c>
      <c r="AE185" s="150">
        <f t="shared" si="151"/>
        <v>0</v>
      </c>
      <c r="AF185" s="150">
        <f t="shared" si="152"/>
        <v>115000</v>
      </c>
      <c r="AG185" s="150">
        <f t="shared" si="191"/>
        <v>0</v>
      </c>
      <c r="AH185" s="150">
        <f t="shared" si="153"/>
        <v>0</v>
      </c>
      <c r="AI185" s="150">
        <f t="shared" si="154"/>
        <v>0</v>
      </c>
      <c r="AJ185" s="150">
        <f t="shared" si="155"/>
        <v>0</v>
      </c>
      <c r="AK185" s="150">
        <f t="shared" si="156"/>
        <v>0</v>
      </c>
      <c r="AL185" s="150">
        <f t="shared" si="192"/>
        <v>0</v>
      </c>
      <c r="AM185" s="150">
        <f t="shared" si="157"/>
        <v>0</v>
      </c>
      <c r="AN185" s="150">
        <f t="shared" si="158"/>
        <v>0</v>
      </c>
      <c r="AO185" s="150">
        <f t="shared" si="159"/>
        <v>0</v>
      </c>
      <c r="AP185" s="150">
        <f t="shared" si="160"/>
        <v>0</v>
      </c>
      <c r="AQ185" s="149">
        <f t="shared" si="193"/>
        <v>750</v>
      </c>
      <c r="AR185" s="149">
        <f t="shared" si="194"/>
        <v>193612.26000000036</v>
      </c>
      <c r="AS185" s="133"/>
      <c r="AT185" s="152">
        <f t="shared" si="195"/>
        <v>133</v>
      </c>
      <c r="AU185" s="151">
        <f t="shared" si="161"/>
        <v>49705</v>
      </c>
      <c r="AV185" s="150">
        <f t="shared" si="196"/>
        <v>0</v>
      </c>
      <c r="AW185" s="150">
        <f t="shared" si="162"/>
        <v>0</v>
      </c>
      <c r="AX185" s="150">
        <f t="shared" si="163"/>
        <v>0</v>
      </c>
      <c r="AY185" s="150">
        <f t="shared" si="164"/>
        <v>0</v>
      </c>
      <c r="AZ185" s="150">
        <f t="shared" si="165"/>
        <v>0</v>
      </c>
      <c r="BA185" s="150">
        <f t="shared" si="197"/>
        <v>6290</v>
      </c>
      <c r="BB185" s="150">
        <f t="shared" si="166"/>
        <v>99.59</v>
      </c>
      <c r="BC185" s="150">
        <f t="shared" si="167"/>
        <v>0.40999999999999659</v>
      </c>
      <c r="BD185" s="150">
        <f t="shared" si="168"/>
        <v>820</v>
      </c>
      <c r="BE185" s="150">
        <f t="shared" si="169"/>
        <v>5469.59</v>
      </c>
      <c r="BF185" s="150">
        <f t="shared" si="198"/>
        <v>0</v>
      </c>
      <c r="BG185" s="150">
        <f t="shared" si="170"/>
        <v>0</v>
      </c>
      <c r="BH185" s="150">
        <f t="shared" si="171"/>
        <v>0</v>
      </c>
      <c r="BI185" s="150">
        <f t="shared" si="172"/>
        <v>0</v>
      </c>
      <c r="BJ185" s="150">
        <f t="shared" si="173"/>
        <v>0</v>
      </c>
      <c r="BK185" s="150">
        <f t="shared" si="199"/>
        <v>115000</v>
      </c>
      <c r="BL185" s="150">
        <f t="shared" si="174"/>
        <v>575</v>
      </c>
      <c r="BM185" s="150">
        <f t="shared" si="175"/>
        <v>0</v>
      </c>
      <c r="BN185" s="150">
        <f t="shared" si="176"/>
        <v>0</v>
      </c>
      <c r="BO185" s="150">
        <f t="shared" si="177"/>
        <v>115000</v>
      </c>
      <c r="BP185" s="150">
        <f t="shared" si="200"/>
        <v>12000</v>
      </c>
      <c r="BQ185" s="150">
        <f t="shared" si="178"/>
        <v>50</v>
      </c>
      <c r="BR185" s="150">
        <f t="shared" si="179"/>
        <v>0</v>
      </c>
      <c r="BS185" s="150">
        <f t="shared" si="180"/>
        <v>0</v>
      </c>
      <c r="BT185" s="150">
        <f t="shared" si="181"/>
        <v>12000</v>
      </c>
      <c r="BU185" s="150">
        <f t="shared" si="201"/>
        <v>0</v>
      </c>
      <c r="BV185" s="150">
        <f t="shared" si="182"/>
        <v>0</v>
      </c>
      <c r="BW185" s="150">
        <f t="shared" si="183"/>
        <v>0</v>
      </c>
      <c r="BX185" s="150">
        <f t="shared" si="184"/>
        <v>0</v>
      </c>
      <c r="BY185" s="150">
        <f t="shared" si="185"/>
        <v>0</v>
      </c>
      <c r="BZ185" s="147">
        <f t="shared" si="202"/>
        <v>820</v>
      </c>
      <c r="CA185" s="147">
        <f t="shared" si="203"/>
        <v>181701.03000000012</v>
      </c>
    </row>
    <row r="186" spans="11:79">
      <c r="K186" s="132">
        <f t="shared" si="186"/>
        <v>134</v>
      </c>
      <c r="L186" s="148">
        <f t="shared" si="136"/>
        <v>49734</v>
      </c>
      <c r="M186" s="131">
        <f t="shared" si="187"/>
        <v>13250</v>
      </c>
      <c r="N186" s="131">
        <f t="shared" si="137"/>
        <v>242.92</v>
      </c>
      <c r="O186" s="131">
        <f t="shared" si="138"/>
        <v>0</v>
      </c>
      <c r="P186" s="131">
        <f t="shared" si="139"/>
        <v>750</v>
      </c>
      <c r="Q186" s="131">
        <f t="shared" si="140"/>
        <v>12500</v>
      </c>
      <c r="R186" s="131">
        <f t="shared" si="188"/>
        <v>0</v>
      </c>
      <c r="S186" s="131">
        <f t="shared" si="141"/>
        <v>0</v>
      </c>
      <c r="T186" s="131">
        <f t="shared" si="142"/>
        <v>0</v>
      </c>
      <c r="U186" s="131">
        <f t="shared" si="143"/>
        <v>0</v>
      </c>
      <c r="V186" s="131">
        <f t="shared" si="144"/>
        <v>0</v>
      </c>
      <c r="W186" s="131">
        <f t="shared" si="189"/>
        <v>0</v>
      </c>
      <c r="X186" s="131">
        <f t="shared" si="145"/>
        <v>0</v>
      </c>
      <c r="Y186" s="131">
        <f t="shared" si="146"/>
        <v>0</v>
      </c>
      <c r="Z186" s="131">
        <f t="shared" si="147"/>
        <v>0</v>
      </c>
      <c r="AA186" s="131">
        <f t="shared" si="148"/>
        <v>0</v>
      </c>
      <c r="AB186" s="131">
        <f t="shared" si="190"/>
        <v>115000</v>
      </c>
      <c r="AC186" s="131">
        <f t="shared" si="149"/>
        <v>575</v>
      </c>
      <c r="AD186" s="131">
        <f t="shared" si="150"/>
        <v>0</v>
      </c>
      <c r="AE186" s="131">
        <f t="shared" si="151"/>
        <v>0</v>
      </c>
      <c r="AF186" s="131">
        <f t="shared" si="152"/>
        <v>115000</v>
      </c>
      <c r="AG186" s="131">
        <f t="shared" si="191"/>
        <v>0</v>
      </c>
      <c r="AH186" s="131">
        <f t="shared" si="153"/>
        <v>0</v>
      </c>
      <c r="AI186" s="131">
        <f t="shared" si="154"/>
        <v>0</v>
      </c>
      <c r="AJ186" s="131">
        <f t="shared" si="155"/>
        <v>0</v>
      </c>
      <c r="AK186" s="131">
        <f t="shared" si="156"/>
        <v>0</v>
      </c>
      <c r="AL186" s="131">
        <f t="shared" si="192"/>
        <v>0</v>
      </c>
      <c r="AM186" s="131">
        <f t="shared" si="157"/>
        <v>0</v>
      </c>
      <c r="AN186" s="131">
        <f t="shared" si="158"/>
        <v>0</v>
      </c>
      <c r="AO186" s="131">
        <f t="shared" si="159"/>
        <v>0</v>
      </c>
      <c r="AP186" s="131">
        <f t="shared" si="160"/>
        <v>0</v>
      </c>
      <c r="AQ186" s="149">
        <f t="shared" si="193"/>
        <v>750</v>
      </c>
      <c r="AR186" s="149">
        <f t="shared" si="194"/>
        <v>194430.18000000037</v>
      </c>
      <c r="AS186" s="133"/>
      <c r="AT186" s="132">
        <f t="shared" si="195"/>
        <v>134</v>
      </c>
      <c r="AU186" s="148">
        <f t="shared" si="161"/>
        <v>49734</v>
      </c>
      <c r="AV186" s="131">
        <f t="shared" si="196"/>
        <v>0</v>
      </c>
      <c r="AW186" s="131">
        <f t="shared" si="162"/>
        <v>0</v>
      </c>
      <c r="AX186" s="131">
        <f t="shared" si="163"/>
        <v>0</v>
      </c>
      <c r="AY186" s="131">
        <f t="shared" si="164"/>
        <v>0</v>
      </c>
      <c r="AZ186" s="131">
        <f t="shared" si="165"/>
        <v>0</v>
      </c>
      <c r="BA186" s="131">
        <f t="shared" si="197"/>
        <v>5469.59</v>
      </c>
      <c r="BB186" s="131">
        <f t="shared" si="166"/>
        <v>86.6</v>
      </c>
      <c r="BC186" s="131">
        <f t="shared" si="167"/>
        <v>13.400000000000006</v>
      </c>
      <c r="BD186" s="131">
        <f t="shared" si="168"/>
        <v>820</v>
      </c>
      <c r="BE186" s="131">
        <f t="shared" si="169"/>
        <v>4636.1899999999996</v>
      </c>
      <c r="BF186" s="131">
        <f t="shared" si="198"/>
        <v>0</v>
      </c>
      <c r="BG186" s="131">
        <f t="shared" si="170"/>
        <v>0</v>
      </c>
      <c r="BH186" s="131">
        <f t="shared" si="171"/>
        <v>0</v>
      </c>
      <c r="BI186" s="131">
        <f t="shared" si="172"/>
        <v>0</v>
      </c>
      <c r="BJ186" s="131">
        <f t="shared" si="173"/>
        <v>0</v>
      </c>
      <c r="BK186" s="131">
        <f t="shared" si="199"/>
        <v>115000</v>
      </c>
      <c r="BL186" s="131">
        <f t="shared" si="174"/>
        <v>575</v>
      </c>
      <c r="BM186" s="131">
        <f t="shared" si="175"/>
        <v>0</v>
      </c>
      <c r="BN186" s="131">
        <f t="shared" si="176"/>
        <v>0</v>
      </c>
      <c r="BO186" s="131">
        <f t="shared" si="177"/>
        <v>115000</v>
      </c>
      <c r="BP186" s="131">
        <f t="shared" si="200"/>
        <v>12000</v>
      </c>
      <c r="BQ186" s="131">
        <f t="shared" si="178"/>
        <v>50</v>
      </c>
      <c r="BR186" s="131">
        <f t="shared" si="179"/>
        <v>0</v>
      </c>
      <c r="BS186" s="131">
        <f t="shared" si="180"/>
        <v>0</v>
      </c>
      <c r="BT186" s="131">
        <f t="shared" si="181"/>
        <v>12000</v>
      </c>
      <c r="BU186" s="131">
        <f t="shared" si="201"/>
        <v>0</v>
      </c>
      <c r="BV186" s="131">
        <f t="shared" si="182"/>
        <v>0</v>
      </c>
      <c r="BW186" s="131">
        <f t="shared" si="183"/>
        <v>0</v>
      </c>
      <c r="BX186" s="131">
        <f t="shared" si="184"/>
        <v>0</v>
      </c>
      <c r="BY186" s="131">
        <f t="shared" si="185"/>
        <v>0</v>
      </c>
      <c r="BZ186" s="147">
        <f t="shared" si="202"/>
        <v>820</v>
      </c>
      <c r="CA186" s="147">
        <f t="shared" si="203"/>
        <v>182412.63000000012</v>
      </c>
    </row>
    <row r="187" spans="11:79">
      <c r="K187" s="152">
        <f t="shared" si="186"/>
        <v>135</v>
      </c>
      <c r="L187" s="151">
        <f t="shared" si="136"/>
        <v>49765</v>
      </c>
      <c r="M187" s="150">
        <f t="shared" si="187"/>
        <v>12500</v>
      </c>
      <c r="N187" s="150">
        <f t="shared" si="137"/>
        <v>229.17</v>
      </c>
      <c r="O187" s="150">
        <f t="shared" si="138"/>
        <v>0</v>
      </c>
      <c r="P187" s="150">
        <f t="shared" si="139"/>
        <v>750</v>
      </c>
      <c r="Q187" s="150">
        <f t="shared" si="140"/>
        <v>11750</v>
      </c>
      <c r="R187" s="150">
        <f t="shared" si="188"/>
        <v>0</v>
      </c>
      <c r="S187" s="150">
        <f t="shared" si="141"/>
        <v>0</v>
      </c>
      <c r="T187" s="150">
        <f t="shared" si="142"/>
        <v>0</v>
      </c>
      <c r="U187" s="150">
        <f t="shared" si="143"/>
        <v>0</v>
      </c>
      <c r="V187" s="150">
        <f t="shared" si="144"/>
        <v>0</v>
      </c>
      <c r="W187" s="150">
        <f t="shared" si="189"/>
        <v>0</v>
      </c>
      <c r="X187" s="150">
        <f t="shared" si="145"/>
        <v>0</v>
      </c>
      <c r="Y187" s="150">
        <f t="shared" si="146"/>
        <v>0</v>
      </c>
      <c r="Z187" s="150">
        <f t="shared" si="147"/>
        <v>0</v>
      </c>
      <c r="AA187" s="150">
        <f t="shared" si="148"/>
        <v>0</v>
      </c>
      <c r="AB187" s="150">
        <f t="shared" si="190"/>
        <v>115000</v>
      </c>
      <c r="AC187" s="150">
        <f t="shared" si="149"/>
        <v>575</v>
      </c>
      <c r="AD187" s="150">
        <f t="shared" si="150"/>
        <v>0</v>
      </c>
      <c r="AE187" s="150">
        <f t="shared" si="151"/>
        <v>0</v>
      </c>
      <c r="AF187" s="150">
        <f t="shared" si="152"/>
        <v>115000</v>
      </c>
      <c r="AG187" s="150">
        <f t="shared" si="191"/>
        <v>0</v>
      </c>
      <c r="AH187" s="150">
        <f t="shared" si="153"/>
        <v>0</v>
      </c>
      <c r="AI187" s="150">
        <f t="shared" si="154"/>
        <v>0</v>
      </c>
      <c r="AJ187" s="150">
        <f t="shared" si="155"/>
        <v>0</v>
      </c>
      <c r="AK187" s="150">
        <f t="shared" si="156"/>
        <v>0</v>
      </c>
      <c r="AL187" s="150">
        <f t="shared" si="192"/>
        <v>0</v>
      </c>
      <c r="AM187" s="150">
        <f t="shared" si="157"/>
        <v>0</v>
      </c>
      <c r="AN187" s="150">
        <f t="shared" si="158"/>
        <v>0</v>
      </c>
      <c r="AO187" s="150">
        <f t="shared" si="159"/>
        <v>0</v>
      </c>
      <c r="AP187" s="150">
        <f t="shared" si="160"/>
        <v>0</v>
      </c>
      <c r="AQ187" s="149">
        <f t="shared" si="193"/>
        <v>750</v>
      </c>
      <c r="AR187" s="149">
        <f t="shared" si="194"/>
        <v>195234.35000000038</v>
      </c>
      <c r="AS187" s="133"/>
      <c r="AT187" s="152">
        <f t="shared" si="195"/>
        <v>135</v>
      </c>
      <c r="AU187" s="151">
        <f t="shared" si="161"/>
        <v>49765</v>
      </c>
      <c r="AV187" s="150">
        <f t="shared" si="196"/>
        <v>0</v>
      </c>
      <c r="AW187" s="150">
        <f t="shared" si="162"/>
        <v>0</v>
      </c>
      <c r="AX187" s="150">
        <f t="shared" si="163"/>
        <v>0</v>
      </c>
      <c r="AY187" s="150">
        <f t="shared" si="164"/>
        <v>0</v>
      </c>
      <c r="AZ187" s="150">
        <f t="shared" si="165"/>
        <v>0</v>
      </c>
      <c r="BA187" s="150">
        <f t="shared" si="197"/>
        <v>4636.1899999999996</v>
      </c>
      <c r="BB187" s="150">
        <f t="shared" si="166"/>
        <v>73.41</v>
      </c>
      <c r="BC187" s="150">
        <f t="shared" si="167"/>
        <v>26.590000000000003</v>
      </c>
      <c r="BD187" s="150">
        <f t="shared" si="168"/>
        <v>820</v>
      </c>
      <c r="BE187" s="150">
        <f t="shared" si="169"/>
        <v>3789.6</v>
      </c>
      <c r="BF187" s="150">
        <f t="shared" si="198"/>
        <v>0</v>
      </c>
      <c r="BG187" s="150">
        <f t="shared" si="170"/>
        <v>0</v>
      </c>
      <c r="BH187" s="150">
        <f t="shared" si="171"/>
        <v>0</v>
      </c>
      <c r="BI187" s="150">
        <f t="shared" si="172"/>
        <v>0</v>
      </c>
      <c r="BJ187" s="150">
        <f t="shared" si="173"/>
        <v>0</v>
      </c>
      <c r="BK187" s="150">
        <f t="shared" si="199"/>
        <v>115000</v>
      </c>
      <c r="BL187" s="150">
        <f t="shared" si="174"/>
        <v>575</v>
      </c>
      <c r="BM187" s="150">
        <f t="shared" si="175"/>
        <v>0</v>
      </c>
      <c r="BN187" s="150">
        <f t="shared" si="176"/>
        <v>0</v>
      </c>
      <c r="BO187" s="150">
        <f t="shared" si="177"/>
        <v>115000</v>
      </c>
      <c r="BP187" s="150">
        <f t="shared" si="200"/>
        <v>12000</v>
      </c>
      <c r="BQ187" s="150">
        <f t="shared" si="178"/>
        <v>50</v>
      </c>
      <c r="BR187" s="150">
        <f t="shared" si="179"/>
        <v>0</v>
      </c>
      <c r="BS187" s="150">
        <f t="shared" si="180"/>
        <v>0</v>
      </c>
      <c r="BT187" s="150">
        <f t="shared" si="181"/>
        <v>12000</v>
      </c>
      <c r="BU187" s="150">
        <f t="shared" si="201"/>
        <v>0</v>
      </c>
      <c r="BV187" s="150">
        <f t="shared" si="182"/>
        <v>0</v>
      </c>
      <c r="BW187" s="150">
        <f t="shared" si="183"/>
        <v>0</v>
      </c>
      <c r="BX187" s="150">
        <f t="shared" si="184"/>
        <v>0</v>
      </c>
      <c r="BY187" s="150">
        <f t="shared" si="185"/>
        <v>0</v>
      </c>
      <c r="BZ187" s="147">
        <f t="shared" si="202"/>
        <v>820</v>
      </c>
      <c r="CA187" s="147">
        <f t="shared" si="203"/>
        <v>183111.04000000012</v>
      </c>
    </row>
    <row r="188" spans="11:79">
      <c r="K188" s="132">
        <f t="shared" si="186"/>
        <v>136</v>
      </c>
      <c r="L188" s="148">
        <f t="shared" si="136"/>
        <v>49795</v>
      </c>
      <c r="M188" s="131">
        <f t="shared" si="187"/>
        <v>11750</v>
      </c>
      <c r="N188" s="131">
        <f t="shared" si="137"/>
        <v>215.42</v>
      </c>
      <c r="O188" s="131">
        <f t="shared" si="138"/>
        <v>4.5800000000000125</v>
      </c>
      <c r="P188" s="131">
        <f t="shared" si="139"/>
        <v>750</v>
      </c>
      <c r="Q188" s="131">
        <f t="shared" si="140"/>
        <v>10995.42</v>
      </c>
      <c r="R188" s="131">
        <f t="shared" si="188"/>
        <v>0</v>
      </c>
      <c r="S188" s="131">
        <f t="shared" si="141"/>
        <v>0</v>
      </c>
      <c r="T188" s="131">
        <f t="shared" si="142"/>
        <v>0</v>
      </c>
      <c r="U188" s="131">
        <f t="shared" si="143"/>
        <v>0</v>
      </c>
      <c r="V188" s="131">
        <f t="shared" si="144"/>
        <v>0</v>
      </c>
      <c r="W188" s="131">
        <f t="shared" si="189"/>
        <v>0</v>
      </c>
      <c r="X188" s="131">
        <f t="shared" si="145"/>
        <v>0</v>
      </c>
      <c r="Y188" s="131">
        <f t="shared" si="146"/>
        <v>0</v>
      </c>
      <c r="Z188" s="131">
        <f t="shared" si="147"/>
        <v>0</v>
      </c>
      <c r="AA188" s="131">
        <f t="shared" si="148"/>
        <v>0</v>
      </c>
      <c r="AB188" s="131">
        <f t="shared" si="190"/>
        <v>115000</v>
      </c>
      <c r="AC188" s="131">
        <f t="shared" si="149"/>
        <v>575</v>
      </c>
      <c r="AD188" s="131">
        <f t="shared" si="150"/>
        <v>0</v>
      </c>
      <c r="AE188" s="131">
        <f t="shared" si="151"/>
        <v>0</v>
      </c>
      <c r="AF188" s="131">
        <f t="shared" si="152"/>
        <v>115000</v>
      </c>
      <c r="AG188" s="131">
        <f t="shared" si="191"/>
        <v>0</v>
      </c>
      <c r="AH188" s="131">
        <f t="shared" si="153"/>
        <v>0</v>
      </c>
      <c r="AI188" s="131">
        <f t="shared" si="154"/>
        <v>0</v>
      </c>
      <c r="AJ188" s="131">
        <f t="shared" si="155"/>
        <v>0</v>
      </c>
      <c r="AK188" s="131">
        <f t="shared" si="156"/>
        <v>0</v>
      </c>
      <c r="AL188" s="131">
        <f t="shared" si="192"/>
        <v>0</v>
      </c>
      <c r="AM188" s="131">
        <f t="shared" si="157"/>
        <v>0</v>
      </c>
      <c r="AN188" s="131">
        <f t="shared" si="158"/>
        <v>0</v>
      </c>
      <c r="AO188" s="131">
        <f t="shared" si="159"/>
        <v>0</v>
      </c>
      <c r="AP188" s="131">
        <f t="shared" si="160"/>
        <v>0</v>
      </c>
      <c r="AQ188" s="149">
        <f t="shared" si="193"/>
        <v>750</v>
      </c>
      <c r="AR188" s="149">
        <f t="shared" si="194"/>
        <v>196024.7700000004</v>
      </c>
      <c r="AS188" s="133"/>
      <c r="AT188" s="132">
        <f t="shared" si="195"/>
        <v>136</v>
      </c>
      <c r="AU188" s="148">
        <f t="shared" si="161"/>
        <v>49795</v>
      </c>
      <c r="AV188" s="131">
        <f t="shared" si="196"/>
        <v>0</v>
      </c>
      <c r="AW188" s="131">
        <f t="shared" si="162"/>
        <v>0</v>
      </c>
      <c r="AX188" s="131">
        <f t="shared" si="163"/>
        <v>0</v>
      </c>
      <c r="AY188" s="131">
        <f t="shared" si="164"/>
        <v>0</v>
      </c>
      <c r="AZ188" s="131">
        <f t="shared" si="165"/>
        <v>0</v>
      </c>
      <c r="BA188" s="131">
        <f t="shared" si="197"/>
        <v>3789.6</v>
      </c>
      <c r="BB188" s="131">
        <f t="shared" si="166"/>
        <v>60</v>
      </c>
      <c r="BC188" s="131">
        <f t="shared" si="167"/>
        <v>40</v>
      </c>
      <c r="BD188" s="131">
        <f t="shared" si="168"/>
        <v>820</v>
      </c>
      <c r="BE188" s="131">
        <f t="shared" si="169"/>
        <v>2929.6</v>
      </c>
      <c r="BF188" s="131">
        <f t="shared" si="198"/>
        <v>0</v>
      </c>
      <c r="BG188" s="131">
        <f t="shared" si="170"/>
        <v>0</v>
      </c>
      <c r="BH188" s="131">
        <f t="shared" si="171"/>
        <v>0</v>
      </c>
      <c r="BI188" s="131">
        <f t="shared" si="172"/>
        <v>0</v>
      </c>
      <c r="BJ188" s="131">
        <f t="shared" si="173"/>
        <v>0</v>
      </c>
      <c r="BK188" s="131">
        <f t="shared" si="199"/>
        <v>115000</v>
      </c>
      <c r="BL188" s="131">
        <f t="shared" si="174"/>
        <v>575</v>
      </c>
      <c r="BM188" s="131">
        <f t="shared" si="175"/>
        <v>0</v>
      </c>
      <c r="BN188" s="131">
        <f t="shared" si="176"/>
        <v>0</v>
      </c>
      <c r="BO188" s="131">
        <f t="shared" si="177"/>
        <v>115000</v>
      </c>
      <c r="BP188" s="131">
        <f t="shared" si="200"/>
        <v>12000</v>
      </c>
      <c r="BQ188" s="131">
        <f t="shared" si="178"/>
        <v>50</v>
      </c>
      <c r="BR188" s="131">
        <f t="shared" si="179"/>
        <v>0</v>
      </c>
      <c r="BS188" s="131">
        <f t="shared" si="180"/>
        <v>0</v>
      </c>
      <c r="BT188" s="131">
        <f t="shared" si="181"/>
        <v>12000</v>
      </c>
      <c r="BU188" s="131">
        <f t="shared" si="201"/>
        <v>0</v>
      </c>
      <c r="BV188" s="131">
        <f t="shared" si="182"/>
        <v>0</v>
      </c>
      <c r="BW188" s="131">
        <f t="shared" si="183"/>
        <v>0</v>
      </c>
      <c r="BX188" s="131">
        <f t="shared" si="184"/>
        <v>0</v>
      </c>
      <c r="BY188" s="131">
        <f t="shared" si="185"/>
        <v>0</v>
      </c>
      <c r="BZ188" s="147">
        <f t="shared" si="202"/>
        <v>820</v>
      </c>
      <c r="CA188" s="147">
        <f t="shared" si="203"/>
        <v>183796.04000000012</v>
      </c>
    </row>
    <row r="189" spans="11:79">
      <c r="K189" s="152">
        <f t="shared" si="186"/>
        <v>137</v>
      </c>
      <c r="L189" s="151">
        <f t="shared" si="136"/>
        <v>49826</v>
      </c>
      <c r="M189" s="150">
        <f t="shared" si="187"/>
        <v>10995.42</v>
      </c>
      <c r="N189" s="150">
        <f t="shared" si="137"/>
        <v>201.58</v>
      </c>
      <c r="O189" s="150">
        <f t="shared" si="138"/>
        <v>18.419999999999987</v>
      </c>
      <c r="P189" s="150">
        <f t="shared" si="139"/>
        <v>750</v>
      </c>
      <c r="Q189" s="150">
        <f t="shared" si="140"/>
        <v>10227</v>
      </c>
      <c r="R189" s="150">
        <f t="shared" si="188"/>
        <v>0</v>
      </c>
      <c r="S189" s="150">
        <f t="shared" si="141"/>
        <v>0</v>
      </c>
      <c r="T189" s="150">
        <f t="shared" si="142"/>
        <v>0</v>
      </c>
      <c r="U189" s="150">
        <f t="shared" si="143"/>
        <v>0</v>
      </c>
      <c r="V189" s="150">
        <f t="shared" si="144"/>
        <v>0</v>
      </c>
      <c r="W189" s="150">
        <f t="shared" si="189"/>
        <v>0</v>
      </c>
      <c r="X189" s="150">
        <f t="shared" si="145"/>
        <v>0</v>
      </c>
      <c r="Y189" s="150">
        <f t="shared" si="146"/>
        <v>0</v>
      </c>
      <c r="Z189" s="150">
        <f t="shared" si="147"/>
        <v>0</v>
      </c>
      <c r="AA189" s="150">
        <f t="shared" si="148"/>
        <v>0</v>
      </c>
      <c r="AB189" s="150">
        <f t="shared" si="190"/>
        <v>115000</v>
      </c>
      <c r="AC189" s="150">
        <f t="shared" si="149"/>
        <v>575</v>
      </c>
      <c r="AD189" s="150">
        <f t="shared" si="150"/>
        <v>0</v>
      </c>
      <c r="AE189" s="150">
        <f t="shared" si="151"/>
        <v>0</v>
      </c>
      <c r="AF189" s="150">
        <f t="shared" si="152"/>
        <v>115000</v>
      </c>
      <c r="AG189" s="150">
        <f t="shared" si="191"/>
        <v>0</v>
      </c>
      <c r="AH189" s="150">
        <f t="shared" si="153"/>
        <v>0</v>
      </c>
      <c r="AI189" s="150">
        <f t="shared" si="154"/>
        <v>0</v>
      </c>
      <c r="AJ189" s="150">
        <f t="shared" si="155"/>
        <v>0</v>
      </c>
      <c r="AK189" s="150">
        <f t="shared" si="156"/>
        <v>0</v>
      </c>
      <c r="AL189" s="150">
        <f t="shared" si="192"/>
        <v>0</v>
      </c>
      <c r="AM189" s="150">
        <f t="shared" si="157"/>
        <v>0</v>
      </c>
      <c r="AN189" s="150">
        <f t="shared" si="158"/>
        <v>0</v>
      </c>
      <c r="AO189" s="150">
        <f t="shared" si="159"/>
        <v>0</v>
      </c>
      <c r="AP189" s="150">
        <f t="shared" si="160"/>
        <v>0</v>
      </c>
      <c r="AQ189" s="149">
        <f t="shared" si="193"/>
        <v>750</v>
      </c>
      <c r="AR189" s="149">
        <f t="shared" si="194"/>
        <v>196801.35000000038</v>
      </c>
      <c r="AS189" s="133"/>
      <c r="AT189" s="152">
        <f t="shared" si="195"/>
        <v>137</v>
      </c>
      <c r="AU189" s="151">
        <f t="shared" si="161"/>
        <v>49826</v>
      </c>
      <c r="AV189" s="150">
        <f t="shared" si="196"/>
        <v>0</v>
      </c>
      <c r="AW189" s="150">
        <f t="shared" si="162"/>
        <v>0</v>
      </c>
      <c r="AX189" s="150">
        <f t="shared" si="163"/>
        <v>0</v>
      </c>
      <c r="AY189" s="150">
        <f t="shared" si="164"/>
        <v>0</v>
      </c>
      <c r="AZ189" s="150">
        <f t="shared" si="165"/>
        <v>0</v>
      </c>
      <c r="BA189" s="150">
        <f t="shared" si="197"/>
        <v>2929.6</v>
      </c>
      <c r="BB189" s="150">
        <f t="shared" si="166"/>
        <v>46.39</v>
      </c>
      <c r="BC189" s="150">
        <f t="shared" si="167"/>
        <v>53.61</v>
      </c>
      <c r="BD189" s="150">
        <f t="shared" si="168"/>
        <v>820</v>
      </c>
      <c r="BE189" s="150">
        <f t="shared" si="169"/>
        <v>2055.9899999999998</v>
      </c>
      <c r="BF189" s="150">
        <f t="shared" si="198"/>
        <v>0</v>
      </c>
      <c r="BG189" s="150">
        <f t="shared" si="170"/>
        <v>0</v>
      </c>
      <c r="BH189" s="150">
        <f t="shared" si="171"/>
        <v>0</v>
      </c>
      <c r="BI189" s="150">
        <f t="shared" si="172"/>
        <v>0</v>
      </c>
      <c r="BJ189" s="150">
        <f t="shared" si="173"/>
        <v>0</v>
      </c>
      <c r="BK189" s="150">
        <f t="shared" si="199"/>
        <v>115000</v>
      </c>
      <c r="BL189" s="150">
        <f t="shared" si="174"/>
        <v>575</v>
      </c>
      <c r="BM189" s="150">
        <f t="shared" si="175"/>
        <v>0</v>
      </c>
      <c r="BN189" s="150">
        <f t="shared" si="176"/>
        <v>0</v>
      </c>
      <c r="BO189" s="150">
        <f t="shared" si="177"/>
        <v>115000</v>
      </c>
      <c r="BP189" s="150">
        <f t="shared" si="200"/>
        <v>12000</v>
      </c>
      <c r="BQ189" s="150">
        <f t="shared" si="178"/>
        <v>50</v>
      </c>
      <c r="BR189" s="150">
        <f t="shared" si="179"/>
        <v>0</v>
      </c>
      <c r="BS189" s="150">
        <f t="shared" si="180"/>
        <v>0</v>
      </c>
      <c r="BT189" s="150">
        <f t="shared" si="181"/>
        <v>12000</v>
      </c>
      <c r="BU189" s="150">
        <f t="shared" si="201"/>
        <v>0</v>
      </c>
      <c r="BV189" s="150">
        <f t="shared" si="182"/>
        <v>0</v>
      </c>
      <c r="BW189" s="150">
        <f t="shared" si="183"/>
        <v>0</v>
      </c>
      <c r="BX189" s="150">
        <f t="shared" si="184"/>
        <v>0</v>
      </c>
      <c r="BY189" s="150">
        <f t="shared" si="185"/>
        <v>0</v>
      </c>
      <c r="BZ189" s="147">
        <f t="shared" si="202"/>
        <v>820</v>
      </c>
      <c r="CA189" s="147">
        <f t="shared" si="203"/>
        <v>184467.43000000014</v>
      </c>
    </row>
    <row r="190" spans="11:79">
      <c r="K190" s="132">
        <f t="shared" si="186"/>
        <v>138</v>
      </c>
      <c r="L190" s="148">
        <f t="shared" si="136"/>
        <v>49856</v>
      </c>
      <c r="M190" s="131">
        <f t="shared" si="187"/>
        <v>10227</v>
      </c>
      <c r="N190" s="131">
        <f t="shared" si="137"/>
        <v>187.5</v>
      </c>
      <c r="O190" s="131">
        <f t="shared" si="138"/>
        <v>32.5</v>
      </c>
      <c r="P190" s="131">
        <f t="shared" si="139"/>
        <v>750</v>
      </c>
      <c r="Q190" s="131">
        <f t="shared" si="140"/>
        <v>9444.5</v>
      </c>
      <c r="R190" s="131">
        <f t="shared" si="188"/>
        <v>0</v>
      </c>
      <c r="S190" s="131">
        <f t="shared" si="141"/>
        <v>0</v>
      </c>
      <c r="T190" s="131">
        <f t="shared" si="142"/>
        <v>0</v>
      </c>
      <c r="U190" s="131">
        <f t="shared" si="143"/>
        <v>0</v>
      </c>
      <c r="V190" s="131">
        <f t="shared" si="144"/>
        <v>0</v>
      </c>
      <c r="W190" s="131">
        <f t="shared" si="189"/>
        <v>0</v>
      </c>
      <c r="X190" s="131">
        <f t="shared" si="145"/>
        <v>0</v>
      </c>
      <c r="Y190" s="131">
        <f t="shared" si="146"/>
        <v>0</v>
      </c>
      <c r="Z190" s="131">
        <f t="shared" si="147"/>
        <v>0</v>
      </c>
      <c r="AA190" s="131">
        <f t="shared" si="148"/>
        <v>0</v>
      </c>
      <c r="AB190" s="131">
        <f t="shared" si="190"/>
        <v>115000</v>
      </c>
      <c r="AC190" s="131">
        <f t="shared" si="149"/>
        <v>575</v>
      </c>
      <c r="AD190" s="131">
        <f t="shared" si="150"/>
        <v>0</v>
      </c>
      <c r="AE190" s="131">
        <f t="shared" si="151"/>
        <v>0</v>
      </c>
      <c r="AF190" s="131">
        <f t="shared" si="152"/>
        <v>115000</v>
      </c>
      <c r="AG190" s="131">
        <f t="shared" si="191"/>
        <v>0</v>
      </c>
      <c r="AH190" s="131">
        <f t="shared" si="153"/>
        <v>0</v>
      </c>
      <c r="AI190" s="131">
        <f t="shared" si="154"/>
        <v>0</v>
      </c>
      <c r="AJ190" s="131">
        <f t="shared" si="155"/>
        <v>0</v>
      </c>
      <c r="AK190" s="131">
        <f t="shared" si="156"/>
        <v>0</v>
      </c>
      <c r="AL190" s="131">
        <f t="shared" si="192"/>
        <v>0</v>
      </c>
      <c r="AM190" s="131">
        <f t="shared" si="157"/>
        <v>0</v>
      </c>
      <c r="AN190" s="131">
        <f t="shared" si="158"/>
        <v>0</v>
      </c>
      <c r="AO190" s="131">
        <f t="shared" si="159"/>
        <v>0</v>
      </c>
      <c r="AP190" s="131">
        <f t="shared" si="160"/>
        <v>0</v>
      </c>
      <c r="AQ190" s="149">
        <f t="shared" si="193"/>
        <v>750</v>
      </c>
      <c r="AR190" s="149">
        <f t="shared" si="194"/>
        <v>197563.85000000038</v>
      </c>
      <c r="AS190" s="133"/>
      <c r="AT190" s="132">
        <f t="shared" si="195"/>
        <v>138</v>
      </c>
      <c r="AU190" s="148">
        <f t="shared" si="161"/>
        <v>49856</v>
      </c>
      <c r="AV190" s="131">
        <f t="shared" si="196"/>
        <v>0</v>
      </c>
      <c r="AW190" s="131">
        <f t="shared" si="162"/>
        <v>0</v>
      </c>
      <c r="AX190" s="131">
        <f t="shared" si="163"/>
        <v>0</v>
      </c>
      <c r="AY190" s="131">
        <f t="shared" si="164"/>
        <v>0</v>
      </c>
      <c r="AZ190" s="131">
        <f t="shared" si="165"/>
        <v>0</v>
      </c>
      <c r="BA190" s="131">
        <f t="shared" si="197"/>
        <v>2055.9899999999998</v>
      </c>
      <c r="BB190" s="131">
        <f t="shared" si="166"/>
        <v>32.549999999999997</v>
      </c>
      <c r="BC190" s="131">
        <f t="shared" si="167"/>
        <v>67.45</v>
      </c>
      <c r="BD190" s="131">
        <f t="shared" si="168"/>
        <v>820</v>
      </c>
      <c r="BE190" s="131">
        <f t="shared" si="169"/>
        <v>1168.54</v>
      </c>
      <c r="BF190" s="131">
        <f t="shared" si="198"/>
        <v>0</v>
      </c>
      <c r="BG190" s="131">
        <f t="shared" si="170"/>
        <v>0</v>
      </c>
      <c r="BH190" s="131">
        <f t="shared" si="171"/>
        <v>0</v>
      </c>
      <c r="BI190" s="131">
        <f t="shared" si="172"/>
        <v>0</v>
      </c>
      <c r="BJ190" s="131">
        <f t="shared" si="173"/>
        <v>0</v>
      </c>
      <c r="BK190" s="131">
        <f t="shared" si="199"/>
        <v>115000</v>
      </c>
      <c r="BL190" s="131">
        <f t="shared" si="174"/>
        <v>575</v>
      </c>
      <c r="BM190" s="131">
        <f t="shared" si="175"/>
        <v>0</v>
      </c>
      <c r="BN190" s="131">
        <f t="shared" si="176"/>
        <v>0</v>
      </c>
      <c r="BO190" s="131">
        <f t="shared" si="177"/>
        <v>115000</v>
      </c>
      <c r="BP190" s="131">
        <f t="shared" si="200"/>
        <v>12000</v>
      </c>
      <c r="BQ190" s="131">
        <f t="shared" si="178"/>
        <v>50</v>
      </c>
      <c r="BR190" s="131">
        <f t="shared" si="179"/>
        <v>0</v>
      </c>
      <c r="BS190" s="131">
        <f t="shared" si="180"/>
        <v>0</v>
      </c>
      <c r="BT190" s="131">
        <f t="shared" si="181"/>
        <v>12000</v>
      </c>
      <c r="BU190" s="131">
        <f t="shared" si="201"/>
        <v>0</v>
      </c>
      <c r="BV190" s="131">
        <f t="shared" si="182"/>
        <v>0</v>
      </c>
      <c r="BW190" s="131">
        <f t="shared" si="183"/>
        <v>0</v>
      </c>
      <c r="BX190" s="131">
        <f t="shared" si="184"/>
        <v>0</v>
      </c>
      <c r="BY190" s="131">
        <f t="shared" si="185"/>
        <v>0</v>
      </c>
      <c r="BZ190" s="147">
        <f t="shared" si="202"/>
        <v>820</v>
      </c>
      <c r="CA190" s="147">
        <f t="shared" si="203"/>
        <v>185124.98000000013</v>
      </c>
    </row>
    <row r="191" spans="11:79">
      <c r="K191" s="152">
        <f t="shared" si="186"/>
        <v>139</v>
      </c>
      <c r="L191" s="151">
        <f t="shared" si="136"/>
        <v>49887</v>
      </c>
      <c r="M191" s="150">
        <f t="shared" si="187"/>
        <v>9444.5</v>
      </c>
      <c r="N191" s="150">
        <f t="shared" si="137"/>
        <v>173.15</v>
      </c>
      <c r="O191" s="150">
        <f t="shared" si="138"/>
        <v>46.849999999999994</v>
      </c>
      <c r="P191" s="150">
        <f t="shared" si="139"/>
        <v>750</v>
      </c>
      <c r="Q191" s="150">
        <f t="shared" si="140"/>
        <v>8647.65</v>
      </c>
      <c r="R191" s="150">
        <f t="shared" si="188"/>
        <v>0</v>
      </c>
      <c r="S191" s="150">
        <f t="shared" si="141"/>
        <v>0</v>
      </c>
      <c r="T191" s="150">
        <f t="shared" si="142"/>
        <v>0</v>
      </c>
      <c r="U191" s="150">
        <f t="shared" si="143"/>
        <v>0</v>
      </c>
      <c r="V191" s="150">
        <f t="shared" si="144"/>
        <v>0</v>
      </c>
      <c r="W191" s="150">
        <f t="shared" si="189"/>
        <v>0</v>
      </c>
      <c r="X191" s="150">
        <f t="shared" si="145"/>
        <v>0</v>
      </c>
      <c r="Y191" s="150">
        <f t="shared" si="146"/>
        <v>0</v>
      </c>
      <c r="Z191" s="150">
        <f t="shared" si="147"/>
        <v>0</v>
      </c>
      <c r="AA191" s="150">
        <f t="shared" si="148"/>
        <v>0</v>
      </c>
      <c r="AB191" s="150">
        <f t="shared" si="190"/>
        <v>115000</v>
      </c>
      <c r="AC191" s="150">
        <f t="shared" si="149"/>
        <v>575</v>
      </c>
      <c r="AD191" s="150">
        <f t="shared" si="150"/>
        <v>0</v>
      </c>
      <c r="AE191" s="150">
        <f t="shared" si="151"/>
        <v>0</v>
      </c>
      <c r="AF191" s="150">
        <f t="shared" si="152"/>
        <v>115000</v>
      </c>
      <c r="AG191" s="150">
        <f t="shared" si="191"/>
        <v>0</v>
      </c>
      <c r="AH191" s="150">
        <f t="shared" si="153"/>
        <v>0</v>
      </c>
      <c r="AI191" s="150">
        <f t="shared" si="154"/>
        <v>0</v>
      </c>
      <c r="AJ191" s="150">
        <f t="shared" si="155"/>
        <v>0</v>
      </c>
      <c r="AK191" s="150">
        <f t="shared" si="156"/>
        <v>0</v>
      </c>
      <c r="AL191" s="150">
        <f t="shared" si="192"/>
        <v>0</v>
      </c>
      <c r="AM191" s="150">
        <f t="shared" si="157"/>
        <v>0</v>
      </c>
      <c r="AN191" s="150">
        <f t="shared" si="158"/>
        <v>0</v>
      </c>
      <c r="AO191" s="150">
        <f t="shared" si="159"/>
        <v>0</v>
      </c>
      <c r="AP191" s="150">
        <f t="shared" si="160"/>
        <v>0</v>
      </c>
      <c r="AQ191" s="149">
        <f t="shared" si="193"/>
        <v>750</v>
      </c>
      <c r="AR191" s="149">
        <f t="shared" si="194"/>
        <v>198312.00000000038</v>
      </c>
      <c r="AS191" s="133"/>
      <c r="AT191" s="152">
        <f t="shared" si="195"/>
        <v>139</v>
      </c>
      <c r="AU191" s="151">
        <f t="shared" si="161"/>
        <v>49887</v>
      </c>
      <c r="AV191" s="150">
        <f t="shared" si="196"/>
        <v>0</v>
      </c>
      <c r="AW191" s="150">
        <f t="shared" si="162"/>
        <v>0</v>
      </c>
      <c r="AX191" s="150">
        <f t="shared" si="163"/>
        <v>0</v>
      </c>
      <c r="AY191" s="150">
        <f t="shared" si="164"/>
        <v>0</v>
      </c>
      <c r="AZ191" s="150">
        <f t="shared" si="165"/>
        <v>0</v>
      </c>
      <c r="BA191" s="150">
        <f t="shared" si="197"/>
        <v>1168.54</v>
      </c>
      <c r="BB191" s="150">
        <f t="shared" si="166"/>
        <v>18.5</v>
      </c>
      <c r="BC191" s="150">
        <f t="shared" si="167"/>
        <v>81.5</v>
      </c>
      <c r="BD191" s="150">
        <f t="shared" si="168"/>
        <v>820</v>
      </c>
      <c r="BE191" s="150">
        <f t="shared" si="169"/>
        <v>267.04000000000002</v>
      </c>
      <c r="BF191" s="150">
        <f t="shared" si="198"/>
        <v>0</v>
      </c>
      <c r="BG191" s="150">
        <f t="shared" si="170"/>
        <v>0</v>
      </c>
      <c r="BH191" s="150">
        <f t="shared" si="171"/>
        <v>0</v>
      </c>
      <c r="BI191" s="150">
        <f t="shared" si="172"/>
        <v>0</v>
      </c>
      <c r="BJ191" s="150">
        <f t="shared" si="173"/>
        <v>0</v>
      </c>
      <c r="BK191" s="150">
        <f t="shared" si="199"/>
        <v>115000</v>
      </c>
      <c r="BL191" s="150">
        <f t="shared" si="174"/>
        <v>575</v>
      </c>
      <c r="BM191" s="150">
        <f t="shared" si="175"/>
        <v>0</v>
      </c>
      <c r="BN191" s="150">
        <f t="shared" si="176"/>
        <v>0</v>
      </c>
      <c r="BO191" s="150">
        <f t="shared" si="177"/>
        <v>115000</v>
      </c>
      <c r="BP191" s="150">
        <f t="shared" si="200"/>
        <v>12000</v>
      </c>
      <c r="BQ191" s="150">
        <f t="shared" si="178"/>
        <v>50</v>
      </c>
      <c r="BR191" s="150">
        <f t="shared" si="179"/>
        <v>0</v>
      </c>
      <c r="BS191" s="150">
        <f t="shared" si="180"/>
        <v>0</v>
      </c>
      <c r="BT191" s="150">
        <f t="shared" si="181"/>
        <v>12000</v>
      </c>
      <c r="BU191" s="150">
        <f t="shared" si="201"/>
        <v>0</v>
      </c>
      <c r="BV191" s="150">
        <f t="shared" si="182"/>
        <v>0</v>
      </c>
      <c r="BW191" s="150">
        <f t="shared" si="183"/>
        <v>0</v>
      </c>
      <c r="BX191" s="150">
        <f t="shared" si="184"/>
        <v>0</v>
      </c>
      <c r="BY191" s="150">
        <f t="shared" si="185"/>
        <v>0</v>
      </c>
      <c r="BZ191" s="147">
        <f t="shared" si="202"/>
        <v>820</v>
      </c>
      <c r="CA191" s="147">
        <f t="shared" si="203"/>
        <v>185768.48000000013</v>
      </c>
    </row>
    <row r="192" spans="11:79">
      <c r="K192" s="132">
        <f t="shared" si="186"/>
        <v>140</v>
      </c>
      <c r="L192" s="148">
        <f t="shared" si="136"/>
        <v>49918</v>
      </c>
      <c r="M192" s="131">
        <f t="shared" si="187"/>
        <v>8647.65</v>
      </c>
      <c r="N192" s="131">
        <f t="shared" si="137"/>
        <v>158.54</v>
      </c>
      <c r="O192" s="131">
        <f t="shared" si="138"/>
        <v>61.460000000000008</v>
      </c>
      <c r="P192" s="131">
        <f t="shared" si="139"/>
        <v>750</v>
      </c>
      <c r="Q192" s="131">
        <f t="shared" si="140"/>
        <v>7836.19</v>
      </c>
      <c r="R192" s="131">
        <f t="shared" si="188"/>
        <v>0</v>
      </c>
      <c r="S192" s="131">
        <f t="shared" si="141"/>
        <v>0</v>
      </c>
      <c r="T192" s="131">
        <f t="shared" si="142"/>
        <v>0</v>
      </c>
      <c r="U192" s="131">
        <f t="shared" si="143"/>
        <v>0</v>
      </c>
      <c r="V192" s="131">
        <f t="shared" si="144"/>
        <v>0</v>
      </c>
      <c r="W192" s="131">
        <f t="shared" si="189"/>
        <v>0</v>
      </c>
      <c r="X192" s="131">
        <f t="shared" si="145"/>
        <v>0</v>
      </c>
      <c r="Y192" s="131">
        <f t="shared" si="146"/>
        <v>0</v>
      </c>
      <c r="Z192" s="131">
        <f t="shared" si="147"/>
        <v>0</v>
      </c>
      <c r="AA192" s="131">
        <f t="shared" si="148"/>
        <v>0</v>
      </c>
      <c r="AB192" s="131">
        <f t="shared" si="190"/>
        <v>115000</v>
      </c>
      <c r="AC192" s="131">
        <f t="shared" si="149"/>
        <v>575</v>
      </c>
      <c r="AD192" s="131">
        <f t="shared" si="150"/>
        <v>0</v>
      </c>
      <c r="AE192" s="131">
        <f t="shared" si="151"/>
        <v>0</v>
      </c>
      <c r="AF192" s="131">
        <f t="shared" si="152"/>
        <v>115000</v>
      </c>
      <c r="AG192" s="131">
        <f t="shared" si="191"/>
        <v>0</v>
      </c>
      <c r="AH192" s="131">
        <f t="shared" si="153"/>
        <v>0</v>
      </c>
      <c r="AI192" s="131">
        <f t="shared" si="154"/>
        <v>0</v>
      </c>
      <c r="AJ192" s="131">
        <f t="shared" si="155"/>
        <v>0</v>
      </c>
      <c r="AK192" s="131">
        <f t="shared" si="156"/>
        <v>0</v>
      </c>
      <c r="AL192" s="131">
        <f t="shared" si="192"/>
        <v>0</v>
      </c>
      <c r="AM192" s="131">
        <f t="shared" si="157"/>
        <v>0</v>
      </c>
      <c r="AN192" s="131">
        <f t="shared" si="158"/>
        <v>0</v>
      </c>
      <c r="AO192" s="131">
        <f t="shared" si="159"/>
        <v>0</v>
      </c>
      <c r="AP192" s="131">
        <f t="shared" si="160"/>
        <v>0</v>
      </c>
      <c r="AQ192" s="149">
        <f t="shared" si="193"/>
        <v>750</v>
      </c>
      <c r="AR192" s="149">
        <f t="shared" si="194"/>
        <v>199045.54000000039</v>
      </c>
      <c r="AS192" s="133"/>
      <c r="AT192" s="132">
        <f t="shared" si="195"/>
        <v>140</v>
      </c>
      <c r="AU192" s="148">
        <f t="shared" si="161"/>
        <v>49918</v>
      </c>
      <c r="AV192" s="131">
        <f t="shared" si="196"/>
        <v>0</v>
      </c>
      <c r="AW192" s="131">
        <f t="shared" si="162"/>
        <v>0</v>
      </c>
      <c r="AX192" s="131">
        <f t="shared" si="163"/>
        <v>0</v>
      </c>
      <c r="AY192" s="131">
        <f t="shared" si="164"/>
        <v>0</v>
      </c>
      <c r="AZ192" s="131">
        <f t="shared" si="165"/>
        <v>0</v>
      </c>
      <c r="BA192" s="131">
        <f t="shared" si="197"/>
        <v>267.04000000000002</v>
      </c>
      <c r="BB192" s="131">
        <f t="shared" si="166"/>
        <v>4.2300000000000004</v>
      </c>
      <c r="BC192" s="131">
        <f t="shared" si="167"/>
        <v>95.77</v>
      </c>
      <c r="BD192" s="131">
        <f t="shared" si="168"/>
        <v>171.27000000000004</v>
      </c>
      <c r="BE192" s="131">
        <f t="shared" si="169"/>
        <v>0</v>
      </c>
      <c r="BF192" s="131">
        <f t="shared" si="198"/>
        <v>0</v>
      </c>
      <c r="BG192" s="131">
        <f t="shared" si="170"/>
        <v>0</v>
      </c>
      <c r="BH192" s="131">
        <f t="shared" si="171"/>
        <v>0</v>
      </c>
      <c r="BI192" s="131">
        <f t="shared" si="172"/>
        <v>0</v>
      </c>
      <c r="BJ192" s="131">
        <f t="shared" si="173"/>
        <v>0</v>
      </c>
      <c r="BK192" s="131">
        <f t="shared" si="199"/>
        <v>115000</v>
      </c>
      <c r="BL192" s="131">
        <f t="shared" si="174"/>
        <v>575</v>
      </c>
      <c r="BM192" s="131">
        <f t="shared" si="175"/>
        <v>0</v>
      </c>
      <c r="BN192" s="131">
        <f t="shared" si="176"/>
        <v>0</v>
      </c>
      <c r="BO192" s="131">
        <f t="shared" si="177"/>
        <v>115000</v>
      </c>
      <c r="BP192" s="131">
        <f t="shared" si="200"/>
        <v>12000</v>
      </c>
      <c r="BQ192" s="131">
        <f t="shared" si="178"/>
        <v>50</v>
      </c>
      <c r="BR192" s="131">
        <f t="shared" si="179"/>
        <v>0</v>
      </c>
      <c r="BS192" s="131">
        <f t="shared" si="180"/>
        <v>0</v>
      </c>
      <c r="BT192" s="131">
        <f t="shared" si="181"/>
        <v>12000</v>
      </c>
      <c r="BU192" s="131">
        <f t="shared" si="201"/>
        <v>0</v>
      </c>
      <c r="BV192" s="131">
        <f t="shared" si="182"/>
        <v>0</v>
      </c>
      <c r="BW192" s="131">
        <f t="shared" si="183"/>
        <v>0</v>
      </c>
      <c r="BX192" s="131">
        <f t="shared" si="184"/>
        <v>0</v>
      </c>
      <c r="BY192" s="131">
        <f t="shared" si="185"/>
        <v>0</v>
      </c>
      <c r="BZ192" s="147">
        <f t="shared" si="202"/>
        <v>820</v>
      </c>
      <c r="CA192" s="147">
        <f t="shared" si="203"/>
        <v>186397.71000000014</v>
      </c>
    </row>
    <row r="193" spans="11:79">
      <c r="K193" s="152">
        <f t="shared" si="186"/>
        <v>141</v>
      </c>
      <c r="L193" s="151">
        <f t="shared" si="136"/>
        <v>49948</v>
      </c>
      <c r="M193" s="150">
        <f t="shared" si="187"/>
        <v>7836.19</v>
      </c>
      <c r="N193" s="150">
        <f t="shared" si="137"/>
        <v>143.66</v>
      </c>
      <c r="O193" s="150">
        <f t="shared" si="138"/>
        <v>76.34</v>
      </c>
      <c r="P193" s="150">
        <f t="shared" si="139"/>
        <v>750</v>
      </c>
      <c r="Q193" s="150">
        <f t="shared" si="140"/>
        <v>7009.85</v>
      </c>
      <c r="R193" s="150">
        <f t="shared" si="188"/>
        <v>0</v>
      </c>
      <c r="S193" s="150">
        <f t="shared" si="141"/>
        <v>0</v>
      </c>
      <c r="T193" s="150">
        <f t="shared" si="142"/>
        <v>0</v>
      </c>
      <c r="U193" s="150">
        <f t="shared" si="143"/>
        <v>0</v>
      </c>
      <c r="V193" s="150">
        <f t="shared" si="144"/>
        <v>0</v>
      </c>
      <c r="W193" s="150">
        <f t="shared" si="189"/>
        <v>0</v>
      </c>
      <c r="X193" s="150">
        <f t="shared" si="145"/>
        <v>0</v>
      </c>
      <c r="Y193" s="150">
        <f t="shared" si="146"/>
        <v>0</v>
      </c>
      <c r="Z193" s="150">
        <f t="shared" si="147"/>
        <v>0</v>
      </c>
      <c r="AA193" s="150">
        <f t="shared" si="148"/>
        <v>0</v>
      </c>
      <c r="AB193" s="150">
        <f t="shared" si="190"/>
        <v>115000</v>
      </c>
      <c r="AC193" s="150">
        <f t="shared" si="149"/>
        <v>575</v>
      </c>
      <c r="AD193" s="150">
        <f t="shared" si="150"/>
        <v>0</v>
      </c>
      <c r="AE193" s="150">
        <f t="shared" si="151"/>
        <v>0</v>
      </c>
      <c r="AF193" s="150">
        <f t="shared" si="152"/>
        <v>115000</v>
      </c>
      <c r="AG193" s="150">
        <f t="shared" si="191"/>
        <v>0</v>
      </c>
      <c r="AH193" s="150">
        <f t="shared" si="153"/>
        <v>0</v>
      </c>
      <c r="AI193" s="150">
        <f t="shared" si="154"/>
        <v>0</v>
      </c>
      <c r="AJ193" s="150">
        <f t="shared" si="155"/>
        <v>0</v>
      </c>
      <c r="AK193" s="150">
        <f t="shared" si="156"/>
        <v>0</v>
      </c>
      <c r="AL193" s="150">
        <f t="shared" si="192"/>
        <v>0</v>
      </c>
      <c r="AM193" s="150">
        <f t="shared" si="157"/>
        <v>0</v>
      </c>
      <c r="AN193" s="150">
        <f t="shared" si="158"/>
        <v>0</v>
      </c>
      <c r="AO193" s="150">
        <f t="shared" si="159"/>
        <v>0</v>
      </c>
      <c r="AP193" s="150">
        <f t="shared" si="160"/>
        <v>0</v>
      </c>
      <c r="AQ193" s="149">
        <f t="shared" si="193"/>
        <v>750</v>
      </c>
      <c r="AR193" s="149">
        <f t="shared" si="194"/>
        <v>199764.20000000039</v>
      </c>
      <c r="AS193" s="133"/>
      <c r="AT193" s="152">
        <f t="shared" si="195"/>
        <v>141</v>
      </c>
      <c r="AU193" s="151">
        <f t="shared" si="161"/>
        <v>49948</v>
      </c>
      <c r="AV193" s="150">
        <f t="shared" si="196"/>
        <v>0</v>
      </c>
      <c r="AW193" s="150">
        <f t="shared" si="162"/>
        <v>0</v>
      </c>
      <c r="AX193" s="150">
        <f t="shared" si="163"/>
        <v>0</v>
      </c>
      <c r="AY193" s="150">
        <f t="shared" si="164"/>
        <v>0</v>
      </c>
      <c r="AZ193" s="150">
        <f t="shared" si="165"/>
        <v>0</v>
      </c>
      <c r="BA193" s="150">
        <f t="shared" si="197"/>
        <v>0</v>
      </c>
      <c r="BB193" s="150">
        <f t="shared" si="166"/>
        <v>0</v>
      </c>
      <c r="BC193" s="150">
        <f t="shared" si="167"/>
        <v>0</v>
      </c>
      <c r="BD193" s="150">
        <f t="shared" si="168"/>
        <v>0</v>
      </c>
      <c r="BE193" s="150">
        <f t="shared" si="169"/>
        <v>0</v>
      </c>
      <c r="BF193" s="150">
        <f t="shared" si="198"/>
        <v>0</v>
      </c>
      <c r="BG193" s="150">
        <f t="shared" si="170"/>
        <v>0</v>
      </c>
      <c r="BH193" s="150">
        <f t="shared" si="171"/>
        <v>0</v>
      </c>
      <c r="BI193" s="150">
        <f t="shared" si="172"/>
        <v>0</v>
      </c>
      <c r="BJ193" s="150">
        <f t="shared" si="173"/>
        <v>0</v>
      </c>
      <c r="BK193" s="150">
        <f t="shared" si="199"/>
        <v>115000</v>
      </c>
      <c r="BL193" s="150">
        <f t="shared" si="174"/>
        <v>575</v>
      </c>
      <c r="BM193" s="150">
        <f t="shared" si="175"/>
        <v>0</v>
      </c>
      <c r="BN193" s="150">
        <f t="shared" si="176"/>
        <v>920</v>
      </c>
      <c r="BO193" s="150">
        <f t="shared" si="177"/>
        <v>114080</v>
      </c>
      <c r="BP193" s="150">
        <f t="shared" si="200"/>
        <v>12000</v>
      </c>
      <c r="BQ193" s="150">
        <f t="shared" si="178"/>
        <v>50</v>
      </c>
      <c r="BR193" s="150">
        <f t="shared" si="179"/>
        <v>0</v>
      </c>
      <c r="BS193" s="150">
        <f t="shared" si="180"/>
        <v>0</v>
      </c>
      <c r="BT193" s="150">
        <f t="shared" si="181"/>
        <v>12000</v>
      </c>
      <c r="BU193" s="150">
        <f t="shared" si="201"/>
        <v>0</v>
      </c>
      <c r="BV193" s="150">
        <f t="shared" si="182"/>
        <v>0</v>
      </c>
      <c r="BW193" s="150">
        <f t="shared" si="183"/>
        <v>0</v>
      </c>
      <c r="BX193" s="150">
        <f t="shared" si="184"/>
        <v>0</v>
      </c>
      <c r="BY193" s="150">
        <f t="shared" si="185"/>
        <v>0</v>
      </c>
      <c r="BZ193" s="147">
        <f t="shared" si="202"/>
        <v>920</v>
      </c>
      <c r="CA193" s="147">
        <f t="shared" si="203"/>
        <v>187022.71000000014</v>
      </c>
    </row>
    <row r="194" spans="11:79">
      <c r="K194" s="132">
        <f t="shared" si="186"/>
        <v>142</v>
      </c>
      <c r="L194" s="148">
        <f t="shared" si="136"/>
        <v>49979</v>
      </c>
      <c r="M194" s="131">
        <f t="shared" si="187"/>
        <v>7009.85</v>
      </c>
      <c r="N194" s="131">
        <f t="shared" si="137"/>
        <v>128.51</v>
      </c>
      <c r="O194" s="131">
        <f t="shared" si="138"/>
        <v>91.490000000000009</v>
      </c>
      <c r="P194" s="131">
        <f t="shared" si="139"/>
        <v>750</v>
      </c>
      <c r="Q194" s="131">
        <f t="shared" si="140"/>
        <v>6168.36</v>
      </c>
      <c r="R194" s="131">
        <f t="shared" si="188"/>
        <v>0</v>
      </c>
      <c r="S194" s="131">
        <f t="shared" si="141"/>
        <v>0</v>
      </c>
      <c r="T194" s="131">
        <f t="shared" si="142"/>
        <v>0</v>
      </c>
      <c r="U194" s="131">
        <f t="shared" si="143"/>
        <v>0</v>
      </c>
      <c r="V194" s="131">
        <f t="shared" si="144"/>
        <v>0</v>
      </c>
      <c r="W194" s="131">
        <f t="shared" si="189"/>
        <v>0</v>
      </c>
      <c r="X194" s="131">
        <f t="shared" si="145"/>
        <v>0</v>
      </c>
      <c r="Y194" s="131">
        <f t="shared" si="146"/>
        <v>0</v>
      </c>
      <c r="Z194" s="131">
        <f t="shared" si="147"/>
        <v>0</v>
      </c>
      <c r="AA194" s="131">
        <f t="shared" si="148"/>
        <v>0</v>
      </c>
      <c r="AB194" s="131">
        <f t="shared" si="190"/>
        <v>115000</v>
      </c>
      <c r="AC194" s="131">
        <f t="shared" si="149"/>
        <v>575</v>
      </c>
      <c r="AD194" s="131">
        <f t="shared" si="150"/>
        <v>0</v>
      </c>
      <c r="AE194" s="131">
        <f t="shared" si="151"/>
        <v>0</v>
      </c>
      <c r="AF194" s="131">
        <f t="shared" si="152"/>
        <v>115000</v>
      </c>
      <c r="AG194" s="131">
        <f t="shared" si="191"/>
        <v>0</v>
      </c>
      <c r="AH194" s="131">
        <f t="shared" si="153"/>
        <v>0</v>
      </c>
      <c r="AI194" s="131">
        <f t="shared" si="154"/>
        <v>0</v>
      </c>
      <c r="AJ194" s="131">
        <f t="shared" si="155"/>
        <v>0</v>
      </c>
      <c r="AK194" s="131">
        <f t="shared" si="156"/>
        <v>0</v>
      </c>
      <c r="AL194" s="131">
        <f t="shared" si="192"/>
        <v>0</v>
      </c>
      <c r="AM194" s="131">
        <f t="shared" si="157"/>
        <v>0</v>
      </c>
      <c r="AN194" s="131">
        <f t="shared" si="158"/>
        <v>0</v>
      </c>
      <c r="AO194" s="131">
        <f t="shared" si="159"/>
        <v>0</v>
      </c>
      <c r="AP194" s="131">
        <f t="shared" si="160"/>
        <v>0</v>
      </c>
      <c r="AQ194" s="149">
        <f t="shared" si="193"/>
        <v>750</v>
      </c>
      <c r="AR194" s="149">
        <f t="shared" si="194"/>
        <v>200467.7100000004</v>
      </c>
      <c r="AS194" s="133"/>
      <c r="AT194" s="132">
        <f t="shared" si="195"/>
        <v>142</v>
      </c>
      <c r="AU194" s="148">
        <f t="shared" si="161"/>
        <v>49979</v>
      </c>
      <c r="AV194" s="131">
        <f t="shared" si="196"/>
        <v>0</v>
      </c>
      <c r="AW194" s="131">
        <f t="shared" si="162"/>
        <v>0</v>
      </c>
      <c r="AX194" s="131">
        <f t="shared" si="163"/>
        <v>0</v>
      </c>
      <c r="AY194" s="131">
        <f t="shared" si="164"/>
        <v>0</v>
      </c>
      <c r="AZ194" s="131">
        <f t="shared" si="165"/>
        <v>0</v>
      </c>
      <c r="BA194" s="131">
        <f t="shared" si="197"/>
        <v>0</v>
      </c>
      <c r="BB194" s="131">
        <f t="shared" si="166"/>
        <v>0</v>
      </c>
      <c r="BC194" s="131">
        <f t="shared" si="167"/>
        <v>0</v>
      </c>
      <c r="BD194" s="131">
        <f t="shared" si="168"/>
        <v>0</v>
      </c>
      <c r="BE194" s="131">
        <f t="shared" si="169"/>
        <v>0</v>
      </c>
      <c r="BF194" s="131">
        <f t="shared" si="198"/>
        <v>0</v>
      </c>
      <c r="BG194" s="131">
        <f t="shared" si="170"/>
        <v>0</v>
      </c>
      <c r="BH194" s="131">
        <f t="shared" si="171"/>
        <v>0</v>
      </c>
      <c r="BI194" s="131">
        <f t="shared" si="172"/>
        <v>0</v>
      </c>
      <c r="BJ194" s="131">
        <f t="shared" si="173"/>
        <v>0</v>
      </c>
      <c r="BK194" s="131">
        <f t="shared" si="199"/>
        <v>114080</v>
      </c>
      <c r="BL194" s="131">
        <f t="shared" si="174"/>
        <v>570.4</v>
      </c>
      <c r="BM194" s="131">
        <f t="shared" si="175"/>
        <v>0</v>
      </c>
      <c r="BN194" s="131">
        <f t="shared" si="176"/>
        <v>920</v>
      </c>
      <c r="BO194" s="131">
        <f t="shared" si="177"/>
        <v>113160</v>
      </c>
      <c r="BP194" s="131">
        <f t="shared" si="200"/>
        <v>12000</v>
      </c>
      <c r="BQ194" s="131">
        <f t="shared" si="178"/>
        <v>50</v>
      </c>
      <c r="BR194" s="131">
        <f t="shared" si="179"/>
        <v>0</v>
      </c>
      <c r="BS194" s="131">
        <f t="shared" si="180"/>
        <v>0</v>
      </c>
      <c r="BT194" s="131">
        <f t="shared" si="181"/>
        <v>12000</v>
      </c>
      <c r="BU194" s="131">
        <f t="shared" si="201"/>
        <v>0</v>
      </c>
      <c r="BV194" s="131">
        <f t="shared" si="182"/>
        <v>0</v>
      </c>
      <c r="BW194" s="131">
        <f t="shared" si="183"/>
        <v>0</v>
      </c>
      <c r="BX194" s="131">
        <f t="shared" si="184"/>
        <v>0</v>
      </c>
      <c r="BY194" s="131">
        <f t="shared" si="185"/>
        <v>0</v>
      </c>
      <c r="BZ194" s="147">
        <f t="shared" si="202"/>
        <v>920</v>
      </c>
      <c r="CA194" s="147">
        <f t="shared" si="203"/>
        <v>187643.11000000013</v>
      </c>
    </row>
    <row r="195" spans="11:79">
      <c r="K195" s="152">
        <f t="shared" si="186"/>
        <v>143</v>
      </c>
      <c r="L195" s="151">
        <f t="shared" si="136"/>
        <v>50009</v>
      </c>
      <c r="M195" s="150">
        <f t="shared" si="187"/>
        <v>6168.36</v>
      </c>
      <c r="N195" s="150">
        <f t="shared" si="137"/>
        <v>113.09</v>
      </c>
      <c r="O195" s="150">
        <f t="shared" si="138"/>
        <v>106.91</v>
      </c>
      <c r="P195" s="150">
        <f t="shared" si="139"/>
        <v>750</v>
      </c>
      <c r="Q195" s="150">
        <f t="shared" si="140"/>
        <v>5311.45</v>
      </c>
      <c r="R195" s="150">
        <f t="shared" si="188"/>
        <v>0</v>
      </c>
      <c r="S195" s="150">
        <f t="shared" si="141"/>
        <v>0</v>
      </c>
      <c r="T195" s="150">
        <f t="shared" si="142"/>
        <v>0</v>
      </c>
      <c r="U195" s="150">
        <f t="shared" si="143"/>
        <v>0</v>
      </c>
      <c r="V195" s="150">
        <f t="shared" si="144"/>
        <v>0</v>
      </c>
      <c r="W195" s="150">
        <f t="shared" si="189"/>
        <v>0</v>
      </c>
      <c r="X195" s="150">
        <f t="shared" si="145"/>
        <v>0</v>
      </c>
      <c r="Y195" s="150">
        <f t="shared" si="146"/>
        <v>0</v>
      </c>
      <c r="Z195" s="150">
        <f t="shared" si="147"/>
        <v>0</v>
      </c>
      <c r="AA195" s="150">
        <f t="shared" si="148"/>
        <v>0</v>
      </c>
      <c r="AB195" s="150">
        <f t="shared" si="190"/>
        <v>115000</v>
      </c>
      <c r="AC195" s="150">
        <f t="shared" si="149"/>
        <v>575</v>
      </c>
      <c r="AD195" s="150">
        <f t="shared" si="150"/>
        <v>0</v>
      </c>
      <c r="AE195" s="150">
        <f t="shared" si="151"/>
        <v>0</v>
      </c>
      <c r="AF195" s="150">
        <f t="shared" si="152"/>
        <v>115000</v>
      </c>
      <c r="AG195" s="150">
        <f t="shared" si="191"/>
        <v>0</v>
      </c>
      <c r="AH195" s="150">
        <f t="shared" si="153"/>
        <v>0</v>
      </c>
      <c r="AI195" s="150">
        <f t="shared" si="154"/>
        <v>0</v>
      </c>
      <c r="AJ195" s="150">
        <f t="shared" si="155"/>
        <v>0</v>
      </c>
      <c r="AK195" s="150">
        <f t="shared" si="156"/>
        <v>0</v>
      </c>
      <c r="AL195" s="150">
        <f t="shared" si="192"/>
        <v>0</v>
      </c>
      <c r="AM195" s="150">
        <f t="shared" si="157"/>
        <v>0</v>
      </c>
      <c r="AN195" s="150">
        <f t="shared" si="158"/>
        <v>0</v>
      </c>
      <c r="AO195" s="150">
        <f t="shared" si="159"/>
        <v>0</v>
      </c>
      <c r="AP195" s="150">
        <f t="shared" si="160"/>
        <v>0</v>
      </c>
      <c r="AQ195" s="149">
        <f t="shared" si="193"/>
        <v>750</v>
      </c>
      <c r="AR195" s="149">
        <f t="shared" si="194"/>
        <v>201155.8000000004</v>
      </c>
      <c r="AS195" s="133"/>
      <c r="AT195" s="152">
        <f t="shared" si="195"/>
        <v>143</v>
      </c>
      <c r="AU195" s="151">
        <f t="shared" si="161"/>
        <v>50009</v>
      </c>
      <c r="AV195" s="150">
        <f t="shared" si="196"/>
        <v>0</v>
      </c>
      <c r="AW195" s="150">
        <f t="shared" si="162"/>
        <v>0</v>
      </c>
      <c r="AX195" s="150">
        <f t="shared" si="163"/>
        <v>0</v>
      </c>
      <c r="AY195" s="150">
        <f t="shared" si="164"/>
        <v>0</v>
      </c>
      <c r="AZ195" s="150">
        <f t="shared" si="165"/>
        <v>0</v>
      </c>
      <c r="BA195" s="150">
        <f t="shared" si="197"/>
        <v>0</v>
      </c>
      <c r="BB195" s="150">
        <f t="shared" si="166"/>
        <v>0</v>
      </c>
      <c r="BC195" s="150">
        <f t="shared" si="167"/>
        <v>0</v>
      </c>
      <c r="BD195" s="150">
        <f t="shared" si="168"/>
        <v>0</v>
      </c>
      <c r="BE195" s="150">
        <f t="shared" si="169"/>
        <v>0</v>
      </c>
      <c r="BF195" s="150">
        <f t="shared" si="198"/>
        <v>0</v>
      </c>
      <c r="BG195" s="150">
        <f t="shared" si="170"/>
        <v>0</v>
      </c>
      <c r="BH195" s="150">
        <f t="shared" si="171"/>
        <v>0</v>
      </c>
      <c r="BI195" s="150">
        <f t="shared" si="172"/>
        <v>0</v>
      </c>
      <c r="BJ195" s="150">
        <f t="shared" si="173"/>
        <v>0</v>
      </c>
      <c r="BK195" s="150">
        <f t="shared" si="199"/>
        <v>113160</v>
      </c>
      <c r="BL195" s="150">
        <f t="shared" si="174"/>
        <v>565.79999999999995</v>
      </c>
      <c r="BM195" s="150">
        <f t="shared" si="175"/>
        <v>0</v>
      </c>
      <c r="BN195" s="150">
        <f t="shared" si="176"/>
        <v>920</v>
      </c>
      <c r="BO195" s="150">
        <f t="shared" si="177"/>
        <v>112240</v>
      </c>
      <c r="BP195" s="150">
        <f t="shared" si="200"/>
        <v>12000</v>
      </c>
      <c r="BQ195" s="150">
        <f t="shared" si="178"/>
        <v>50</v>
      </c>
      <c r="BR195" s="150">
        <f t="shared" si="179"/>
        <v>0</v>
      </c>
      <c r="BS195" s="150">
        <f t="shared" si="180"/>
        <v>0</v>
      </c>
      <c r="BT195" s="150">
        <f t="shared" si="181"/>
        <v>12000</v>
      </c>
      <c r="BU195" s="150">
        <f t="shared" si="201"/>
        <v>0</v>
      </c>
      <c r="BV195" s="150">
        <f t="shared" si="182"/>
        <v>0</v>
      </c>
      <c r="BW195" s="150">
        <f t="shared" si="183"/>
        <v>0</v>
      </c>
      <c r="BX195" s="150">
        <f t="shared" si="184"/>
        <v>0</v>
      </c>
      <c r="BY195" s="150">
        <f t="shared" si="185"/>
        <v>0</v>
      </c>
      <c r="BZ195" s="147">
        <f t="shared" si="202"/>
        <v>920</v>
      </c>
      <c r="CA195" s="147">
        <f t="shared" si="203"/>
        <v>188258.91000000012</v>
      </c>
    </row>
    <row r="196" spans="11:79">
      <c r="K196" s="132">
        <f t="shared" si="186"/>
        <v>144</v>
      </c>
      <c r="L196" s="148">
        <f t="shared" si="136"/>
        <v>50040</v>
      </c>
      <c r="M196" s="131">
        <f t="shared" si="187"/>
        <v>5311.45</v>
      </c>
      <c r="N196" s="131">
        <f t="shared" si="137"/>
        <v>97.38</v>
      </c>
      <c r="O196" s="131">
        <f t="shared" si="138"/>
        <v>122.62</v>
      </c>
      <c r="P196" s="131">
        <f t="shared" si="139"/>
        <v>750</v>
      </c>
      <c r="Q196" s="131">
        <f t="shared" si="140"/>
        <v>4438.83</v>
      </c>
      <c r="R196" s="131">
        <f t="shared" si="188"/>
        <v>0</v>
      </c>
      <c r="S196" s="131">
        <f t="shared" si="141"/>
        <v>0</v>
      </c>
      <c r="T196" s="131">
        <f t="shared" si="142"/>
        <v>0</v>
      </c>
      <c r="U196" s="131">
        <f t="shared" si="143"/>
        <v>0</v>
      </c>
      <c r="V196" s="131">
        <f t="shared" si="144"/>
        <v>0</v>
      </c>
      <c r="W196" s="131">
        <f t="shared" si="189"/>
        <v>0</v>
      </c>
      <c r="X196" s="131">
        <f t="shared" si="145"/>
        <v>0</v>
      </c>
      <c r="Y196" s="131">
        <f t="shared" si="146"/>
        <v>0</v>
      </c>
      <c r="Z196" s="131">
        <f t="shared" si="147"/>
        <v>0</v>
      </c>
      <c r="AA196" s="131">
        <f t="shared" si="148"/>
        <v>0</v>
      </c>
      <c r="AB196" s="131">
        <f t="shared" si="190"/>
        <v>115000</v>
      </c>
      <c r="AC196" s="131">
        <f t="shared" si="149"/>
        <v>575</v>
      </c>
      <c r="AD196" s="131">
        <f t="shared" si="150"/>
        <v>0</v>
      </c>
      <c r="AE196" s="131">
        <f t="shared" si="151"/>
        <v>0</v>
      </c>
      <c r="AF196" s="131">
        <f t="shared" si="152"/>
        <v>115000</v>
      </c>
      <c r="AG196" s="131">
        <f t="shared" si="191"/>
        <v>0</v>
      </c>
      <c r="AH196" s="131">
        <f t="shared" si="153"/>
        <v>0</v>
      </c>
      <c r="AI196" s="131">
        <f t="shared" si="154"/>
        <v>0</v>
      </c>
      <c r="AJ196" s="131">
        <f t="shared" si="155"/>
        <v>0</v>
      </c>
      <c r="AK196" s="131">
        <f t="shared" si="156"/>
        <v>0</v>
      </c>
      <c r="AL196" s="131">
        <f t="shared" si="192"/>
        <v>0</v>
      </c>
      <c r="AM196" s="131">
        <f t="shared" si="157"/>
        <v>0</v>
      </c>
      <c r="AN196" s="131">
        <f t="shared" si="158"/>
        <v>0</v>
      </c>
      <c r="AO196" s="131">
        <f t="shared" si="159"/>
        <v>0</v>
      </c>
      <c r="AP196" s="131">
        <f t="shared" si="160"/>
        <v>0</v>
      </c>
      <c r="AQ196" s="149">
        <f t="shared" si="193"/>
        <v>750</v>
      </c>
      <c r="AR196" s="149">
        <f t="shared" si="194"/>
        <v>201828.1800000004</v>
      </c>
      <c r="AS196" s="133"/>
      <c r="AT196" s="132">
        <f t="shared" si="195"/>
        <v>144</v>
      </c>
      <c r="AU196" s="148">
        <f t="shared" si="161"/>
        <v>50040</v>
      </c>
      <c r="AV196" s="131">
        <f t="shared" si="196"/>
        <v>0</v>
      </c>
      <c r="AW196" s="131">
        <f t="shared" si="162"/>
        <v>0</v>
      </c>
      <c r="AX196" s="131">
        <f t="shared" si="163"/>
        <v>0</v>
      </c>
      <c r="AY196" s="131">
        <f t="shared" si="164"/>
        <v>0</v>
      </c>
      <c r="AZ196" s="131">
        <f t="shared" si="165"/>
        <v>0</v>
      </c>
      <c r="BA196" s="131">
        <f t="shared" si="197"/>
        <v>0</v>
      </c>
      <c r="BB196" s="131">
        <f t="shared" si="166"/>
        <v>0</v>
      </c>
      <c r="BC196" s="131">
        <f t="shared" si="167"/>
        <v>0</v>
      </c>
      <c r="BD196" s="131">
        <f t="shared" si="168"/>
        <v>0</v>
      </c>
      <c r="BE196" s="131">
        <f t="shared" si="169"/>
        <v>0</v>
      </c>
      <c r="BF196" s="131">
        <f t="shared" si="198"/>
        <v>0</v>
      </c>
      <c r="BG196" s="131">
        <f t="shared" si="170"/>
        <v>0</v>
      </c>
      <c r="BH196" s="131">
        <f t="shared" si="171"/>
        <v>0</v>
      </c>
      <c r="BI196" s="131">
        <f t="shared" si="172"/>
        <v>0</v>
      </c>
      <c r="BJ196" s="131">
        <f t="shared" si="173"/>
        <v>0</v>
      </c>
      <c r="BK196" s="131">
        <f t="shared" si="199"/>
        <v>112240</v>
      </c>
      <c r="BL196" s="131">
        <f t="shared" si="174"/>
        <v>561.20000000000005</v>
      </c>
      <c r="BM196" s="131">
        <f t="shared" si="175"/>
        <v>0</v>
      </c>
      <c r="BN196" s="131">
        <f t="shared" si="176"/>
        <v>920</v>
      </c>
      <c r="BO196" s="131">
        <f t="shared" si="177"/>
        <v>111320</v>
      </c>
      <c r="BP196" s="131">
        <f t="shared" si="200"/>
        <v>12000</v>
      </c>
      <c r="BQ196" s="131">
        <f t="shared" si="178"/>
        <v>50</v>
      </c>
      <c r="BR196" s="131">
        <f t="shared" si="179"/>
        <v>0</v>
      </c>
      <c r="BS196" s="131">
        <f t="shared" si="180"/>
        <v>0</v>
      </c>
      <c r="BT196" s="131">
        <f t="shared" si="181"/>
        <v>12000</v>
      </c>
      <c r="BU196" s="131">
        <f t="shared" si="201"/>
        <v>0</v>
      </c>
      <c r="BV196" s="131">
        <f t="shared" si="182"/>
        <v>0</v>
      </c>
      <c r="BW196" s="131">
        <f t="shared" si="183"/>
        <v>0</v>
      </c>
      <c r="BX196" s="131">
        <f t="shared" si="184"/>
        <v>0</v>
      </c>
      <c r="BY196" s="131">
        <f t="shared" si="185"/>
        <v>0</v>
      </c>
      <c r="BZ196" s="147">
        <f t="shared" si="202"/>
        <v>920</v>
      </c>
      <c r="CA196" s="147">
        <f t="shared" si="203"/>
        <v>188870.11000000013</v>
      </c>
    </row>
    <row r="197" spans="11:79">
      <c r="K197" s="152">
        <f t="shared" si="186"/>
        <v>145</v>
      </c>
      <c r="L197" s="151">
        <f t="shared" si="136"/>
        <v>50071</v>
      </c>
      <c r="M197" s="150">
        <f t="shared" si="187"/>
        <v>4438.83</v>
      </c>
      <c r="N197" s="150">
        <f t="shared" si="137"/>
        <v>81.38</v>
      </c>
      <c r="O197" s="150">
        <f t="shared" si="138"/>
        <v>138.62</v>
      </c>
      <c r="P197" s="150">
        <f t="shared" si="139"/>
        <v>750</v>
      </c>
      <c r="Q197" s="150">
        <f t="shared" si="140"/>
        <v>3550.21</v>
      </c>
      <c r="R197" s="150">
        <f t="shared" si="188"/>
        <v>0</v>
      </c>
      <c r="S197" s="150">
        <f t="shared" si="141"/>
        <v>0</v>
      </c>
      <c r="T197" s="150">
        <f t="shared" si="142"/>
        <v>0</v>
      </c>
      <c r="U197" s="150">
        <f t="shared" si="143"/>
        <v>0</v>
      </c>
      <c r="V197" s="150">
        <f t="shared" si="144"/>
        <v>0</v>
      </c>
      <c r="W197" s="150">
        <f t="shared" si="189"/>
        <v>0</v>
      </c>
      <c r="X197" s="150">
        <f t="shared" si="145"/>
        <v>0</v>
      </c>
      <c r="Y197" s="150">
        <f t="shared" si="146"/>
        <v>0</v>
      </c>
      <c r="Z197" s="150">
        <f t="shared" si="147"/>
        <v>0</v>
      </c>
      <c r="AA197" s="150">
        <f t="shared" si="148"/>
        <v>0</v>
      </c>
      <c r="AB197" s="150">
        <f t="shared" si="190"/>
        <v>115000</v>
      </c>
      <c r="AC197" s="150">
        <f t="shared" si="149"/>
        <v>575</v>
      </c>
      <c r="AD197" s="150">
        <f t="shared" si="150"/>
        <v>0</v>
      </c>
      <c r="AE197" s="150">
        <f t="shared" si="151"/>
        <v>0</v>
      </c>
      <c r="AF197" s="150">
        <f t="shared" si="152"/>
        <v>115000</v>
      </c>
      <c r="AG197" s="150">
        <f t="shared" si="191"/>
        <v>0</v>
      </c>
      <c r="AH197" s="150">
        <f t="shared" si="153"/>
        <v>0</v>
      </c>
      <c r="AI197" s="150">
        <f t="shared" si="154"/>
        <v>0</v>
      </c>
      <c r="AJ197" s="150">
        <f t="shared" si="155"/>
        <v>0</v>
      </c>
      <c r="AK197" s="150">
        <f t="shared" si="156"/>
        <v>0</v>
      </c>
      <c r="AL197" s="150">
        <f t="shared" si="192"/>
        <v>0</v>
      </c>
      <c r="AM197" s="150">
        <f t="shared" si="157"/>
        <v>0</v>
      </c>
      <c r="AN197" s="150">
        <f t="shared" si="158"/>
        <v>0</v>
      </c>
      <c r="AO197" s="150">
        <f t="shared" si="159"/>
        <v>0</v>
      </c>
      <c r="AP197" s="150">
        <f t="shared" si="160"/>
        <v>0</v>
      </c>
      <c r="AQ197" s="149">
        <f t="shared" si="193"/>
        <v>750</v>
      </c>
      <c r="AR197" s="149">
        <f t="shared" si="194"/>
        <v>202484.56000000041</v>
      </c>
      <c r="AS197" s="133"/>
      <c r="AT197" s="152">
        <f t="shared" si="195"/>
        <v>145</v>
      </c>
      <c r="AU197" s="151">
        <f t="shared" si="161"/>
        <v>50071</v>
      </c>
      <c r="AV197" s="150">
        <f t="shared" si="196"/>
        <v>0</v>
      </c>
      <c r="AW197" s="150">
        <f t="shared" si="162"/>
        <v>0</v>
      </c>
      <c r="AX197" s="150">
        <f t="shared" si="163"/>
        <v>0</v>
      </c>
      <c r="AY197" s="150">
        <f t="shared" si="164"/>
        <v>0</v>
      </c>
      <c r="AZ197" s="150">
        <f t="shared" si="165"/>
        <v>0</v>
      </c>
      <c r="BA197" s="150">
        <f t="shared" si="197"/>
        <v>0</v>
      </c>
      <c r="BB197" s="150">
        <f t="shared" si="166"/>
        <v>0</v>
      </c>
      <c r="BC197" s="150">
        <f t="shared" si="167"/>
        <v>0</v>
      </c>
      <c r="BD197" s="150">
        <f t="shared" si="168"/>
        <v>0</v>
      </c>
      <c r="BE197" s="150">
        <f t="shared" si="169"/>
        <v>0</v>
      </c>
      <c r="BF197" s="150">
        <f t="shared" si="198"/>
        <v>0</v>
      </c>
      <c r="BG197" s="150">
        <f t="shared" si="170"/>
        <v>0</v>
      </c>
      <c r="BH197" s="150">
        <f t="shared" si="171"/>
        <v>0</v>
      </c>
      <c r="BI197" s="150">
        <f t="shared" si="172"/>
        <v>0</v>
      </c>
      <c r="BJ197" s="150">
        <f t="shared" si="173"/>
        <v>0</v>
      </c>
      <c r="BK197" s="150">
        <f t="shared" si="199"/>
        <v>111320</v>
      </c>
      <c r="BL197" s="150">
        <f t="shared" si="174"/>
        <v>556.6</v>
      </c>
      <c r="BM197" s="150">
        <f t="shared" si="175"/>
        <v>0</v>
      </c>
      <c r="BN197" s="150">
        <f t="shared" si="176"/>
        <v>920</v>
      </c>
      <c r="BO197" s="150">
        <f t="shared" si="177"/>
        <v>110400</v>
      </c>
      <c r="BP197" s="150">
        <f t="shared" si="200"/>
        <v>12000</v>
      </c>
      <c r="BQ197" s="150">
        <f t="shared" si="178"/>
        <v>50</v>
      </c>
      <c r="BR197" s="150">
        <f t="shared" si="179"/>
        <v>0</v>
      </c>
      <c r="BS197" s="150">
        <f t="shared" si="180"/>
        <v>0</v>
      </c>
      <c r="BT197" s="150">
        <f t="shared" si="181"/>
        <v>12000</v>
      </c>
      <c r="BU197" s="150">
        <f t="shared" si="201"/>
        <v>0</v>
      </c>
      <c r="BV197" s="150">
        <f t="shared" si="182"/>
        <v>0</v>
      </c>
      <c r="BW197" s="150">
        <f t="shared" si="183"/>
        <v>0</v>
      </c>
      <c r="BX197" s="150">
        <f t="shared" si="184"/>
        <v>0</v>
      </c>
      <c r="BY197" s="150">
        <f t="shared" si="185"/>
        <v>0</v>
      </c>
      <c r="BZ197" s="147">
        <f t="shared" si="202"/>
        <v>920</v>
      </c>
      <c r="CA197" s="147">
        <f t="shared" si="203"/>
        <v>189476.71000000014</v>
      </c>
    </row>
    <row r="198" spans="11:79">
      <c r="K198" s="132">
        <f t="shared" si="186"/>
        <v>146</v>
      </c>
      <c r="L198" s="148">
        <f t="shared" si="136"/>
        <v>50099</v>
      </c>
      <c r="M198" s="131">
        <f t="shared" si="187"/>
        <v>3550.21</v>
      </c>
      <c r="N198" s="131">
        <f t="shared" si="137"/>
        <v>65.09</v>
      </c>
      <c r="O198" s="131">
        <f t="shared" si="138"/>
        <v>154.91</v>
      </c>
      <c r="P198" s="131">
        <f t="shared" si="139"/>
        <v>750</v>
      </c>
      <c r="Q198" s="131">
        <f t="shared" si="140"/>
        <v>2645.3</v>
      </c>
      <c r="R198" s="131">
        <f t="shared" si="188"/>
        <v>0</v>
      </c>
      <c r="S198" s="131">
        <f t="shared" si="141"/>
        <v>0</v>
      </c>
      <c r="T198" s="131">
        <f t="shared" si="142"/>
        <v>0</v>
      </c>
      <c r="U198" s="131">
        <f t="shared" si="143"/>
        <v>0</v>
      </c>
      <c r="V198" s="131">
        <f t="shared" si="144"/>
        <v>0</v>
      </c>
      <c r="W198" s="131">
        <f t="shared" si="189"/>
        <v>0</v>
      </c>
      <c r="X198" s="131">
        <f t="shared" si="145"/>
        <v>0</v>
      </c>
      <c r="Y198" s="131">
        <f t="shared" si="146"/>
        <v>0</v>
      </c>
      <c r="Z198" s="131">
        <f t="shared" si="147"/>
        <v>0</v>
      </c>
      <c r="AA198" s="131">
        <f t="shared" si="148"/>
        <v>0</v>
      </c>
      <c r="AB198" s="131">
        <f t="shared" si="190"/>
        <v>115000</v>
      </c>
      <c r="AC198" s="131">
        <f t="shared" si="149"/>
        <v>575</v>
      </c>
      <c r="AD198" s="131">
        <f t="shared" si="150"/>
        <v>0</v>
      </c>
      <c r="AE198" s="131">
        <f t="shared" si="151"/>
        <v>0</v>
      </c>
      <c r="AF198" s="131">
        <f t="shared" si="152"/>
        <v>115000</v>
      </c>
      <c r="AG198" s="131">
        <f t="shared" si="191"/>
        <v>0</v>
      </c>
      <c r="AH198" s="131">
        <f t="shared" si="153"/>
        <v>0</v>
      </c>
      <c r="AI198" s="131">
        <f t="shared" si="154"/>
        <v>0</v>
      </c>
      <c r="AJ198" s="131">
        <f t="shared" si="155"/>
        <v>0</v>
      </c>
      <c r="AK198" s="131">
        <f t="shared" si="156"/>
        <v>0</v>
      </c>
      <c r="AL198" s="131">
        <f t="shared" si="192"/>
        <v>0</v>
      </c>
      <c r="AM198" s="131">
        <f t="shared" si="157"/>
        <v>0</v>
      </c>
      <c r="AN198" s="131">
        <f t="shared" si="158"/>
        <v>0</v>
      </c>
      <c r="AO198" s="131">
        <f t="shared" si="159"/>
        <v>0</v>
      </c>
      <c r="AP198" s="131">
        <f t="shared" si="160"/>
        <v>0</v>
      </c>
      <c r="AQ198" s="149">
        <f t="shared" si="193"/>
        <v>750</v>
      </c>
      <c r="AR198" s="149">
        <f t="shared" si="194"/>
        <v>203124.6500000004</v>
      </c>
      <c r="AS198" s="133"/>
      <c r="AT198" s="132">
        <f t="shared" si="195"/>
        <v>146</v>
      </c>
      <c r="AU198" s="148">
        <f t="shared" si="161"/>
        <v>50099</v>
      </c>
      <c r="AV198" s="131">
        <f t="shared" si="196"/>
        <v>0</v>
      </c>
      <c r="AW198" s="131">
        <f t="shared" si="162"/>
        <v>0</v>
      </c>
      <c r="AX198" s="131">
        <f t="shared" si="163"/>
        <v>0</v>
      </c>
      <c r="AY198" s="131">
        <f t="shared" si="164"/>
        <v>0</v>
      </c>
      <c r="AZ198" s="131">
        <f t="shared" si="165"/>
        <v>0</v>
      </c>
      <c r="BA198" s="131">
        <f t="shared" si="197"/>
        <v>0</v>
      </c>
      <c r="BB198" s="131">
        <f t="shared" si="166"/>
        <v>0</v>
      </c>
      <c r="BC198" s="131">
        <f t="shared" si="167"/>
        <v>0</v>
      </c>
      <c r="BD198" s="131">
        <f t="shared" si="168"/>
        <v>0</v>
      </c>
      <c r="BE198" s="131">
        <f t="shared" si="169"/>
        <v>0</v>
      </c>
      <c r="BF198" s="131">
        <f t="shared" si="198"/>
        <v>0</v>
      </c>
      <c r="BG198" s="131">
        <f t="shared" si="170"/>
        <v>0</v>
      </c>
      <c r="BH198" s="131">
        <f t="shared" si="171"/>
        <v>0</v>
      </c>
      <c r="BI198" s="131">
        <f t="shared" si="172"/>
        <v>0</v>
      </c>
      <c r="BJ198" s="131">
        <f t="shared" si="173"/>
        <v>0</v>
      </c>
      <c r="BK198" s="131">
        <f t="shared" si="199"/>
        <v>110400</v>
      </c>
      <c r="BL198" s="131">
        <f t="shared" si="174"/>
        <v>552</v>
      </c>
      <c r="BM198" s="131">
        <f t="shared" si="175"/>
        <v>0</v>
      </c>
      <c r="BN198" s="131">
        <f t="shared" si="176"/>
        <v>920</v>
      </c>
      <c r="BO198" s="131">
        <f t="shared" si="177"/>
        <v>109480</v>
      </c>
      <c r="BP198" s="131">
        <f t="shared" si="200"/>
        <v>12000</v>
      </c>
      <c r="BQ198" s="131">
        <f t="shared" si="178"/>
        <v>50</v>
      </c>
      <c r="BR198" s="131">
        <f t="shared" si="179"/>
        <v>0</v>
      </c>
      <c r="BS198" s="131">
        <f t="shared" si="180"/>
        <v>0</v>
      </c>
      <c r="BT198" s="131">
        <f t="shared" si="181"/>
        <v>12000</v>
      </c>
      <c r="BU198" s="131">
        <f t="shared" si="201"/>
        <v>0</v>
      </c>
      <c r="BV198" s="131">
        <f t="shared" si="182"/>
        <v>0</v>
      </c>
      <c r="BW198" s="131">
        <f t="shared" si="183"/>
        <v>0</v>
      </c>
      <c r="BX198" s="131">
        <f t="shared" si="184"/>
        <v>0</v>
      </c>
      <c r="BY198" s="131">
        <f t="shared" si="185"/>
        <v>0</v>
      </c>
      <c r="BZ198" s="147">
        <f t="shared" si="202"/>
        <v>920</v>
      </c>
      <c r="CA198" s="147">
        <f t="shared" si="203"/>
        <v>190078.71000000014</v>
      </c>
    </row>
    <row r="199" spans="11:79">
      <c r="K199" s="152">
        <f t="shared" si="186"/>
        <v>147</v>
      </c>
      <c r="L199" s="151">
        <f t="shared" si="136"/>
        <v>50130</v>
      </c>
      <c r="M199" s="150">
        <f t="shared" si="187"/>
        <v>2645.3</v>
      </c>
      <c r="N199" s="150">
        <f t="shared" si="137"/>
        <v>48.5</v>
      </c>
      <c r="O199" s="150">
        <f t="shared" si="138"/>
        <v>171.5</v>
      </c>
      <c r="P199" s="150">
        <f t="shared" si="139"/>
        <v>750</v>
      </c>
      <c r="Q199" s="150">
        <f t="shared" si="140"/>
        <v>1723.8</v>
      </c>
      <c r="R199" s="150">
        <f t="shared" si="188"/>
        <v>0</v>
      </c>
      <c r="S199" s="150">
        <f t="shared" si="141"/>
        <v>0</v>
      </c>
      <c r="T199" s="150">
        <f t="shared" si="142"/>
        <v>0</v>
      </c>
      <c r="U199" s="150">
        <f t="shared" si="143"/>
        <v>0</v>
      </c>
      <c r="V199" s="150">
        <f t="shared" si="144"/>
        <v>0</v>
      </c>
      <c r="W199" s="150">
        <f t="shared" si="189"/>
        <v>0</v>
      </c>
      <c r="X199" s="150">
        <f t="shared" si="145"/>
        <v>0</v>
      </c>
      <c r="Y199" s="150">
        <f t="shared" si="146"/>
        <v>0</v>
      </c>
      <c r="Z199" s="150">
        <f t="shared" si="147"/>
        <v>0</v>
      </c>
      <c r="AA199" s="150">
        <f t="shared" si="148"/>
        <v>0</v>
      </c>
      <c r="AB199" s="150">
        <f t="shared" si="190"/>
        <v>115000</v>
      </c>
      <c r="AC199" s="150">
        <f t="shared" si="149"/>
        <v>575</v>
      </c>
      <c r="AD199" s="150">
        <f t="shared" si="150"/>
        <v>0</v>
      </c>
      <c r="AE199" s="150">
        <f t="shared" si="151"/>
        <v>0</v>
      </c>
      <c r="AF199" s="150">
        <f t="shared" si="152"/>
        <v>115000</v>
      </c>
      <c r="AG199" s="150">
        <f t="shared" si="191"/>
        <v>0</v>
      </c>
      <c r="AH199" s="150">
        <f t="shared" si="153"/>
        <v>0</v>
      </c>
      <c r="AI199" s="150">
        <f t="shared" si="154"/>
        <v>0</v>
      </c>
      <c r="AJ199" s="150">
        <f t="shared" si="155"/>
        <v>0</v>
      </c>
      <c r="AK199" s="150">
        <f t="shared" si="156"/>
        <v>0</v>
      </c>
      <c r="AL199" s="150">
        <f t="shared" si="192"/>
        <v>0</v>
      </c>
      <c r="AM199" s="150">
        <f t="shared" si="157"/>
        <v>0</v>
      </c>
      <c r="AN199" s="150">
        <f t="shared" si="158"/>
        <v>0</v>
      </c>
      <c r="AO199" s="150">
        <f t="shared" si="159"/>
        <v>0</v>
      </c>
      <c r="AP199" s="150">
        <f t="shared" si="160"/>
        <v>0</v>
      </c>
      <c r="AQ199" s="149">
        <f t="shared" si="193"/>
        <v>750</v>
      </c>
      <c r="AR199" s="149">
        <f t="shared" si="194"/>
        <v>203748.1500000004</v>
      </c>
      <c r="AS199" s="133"/>
      <c r="AT199" s="152">
        <f t="shared" si="195"/>
        <v>147</v>
      </c>
      <c r="AU199" s="151">
        <f t="shared" si="161"/>
        <v>50130</v>
      </c>
      <c r="AV199" s="150">
        <f t="shared" si="196"/>
        <v>0</v>
      </c>
      <c r="AW199" s="150">
        <f t="shared" si="162"/>
        <v>0</v>
      </c>
      <c r="AX199" s="150">
        <f t="shared" si="163"/>
        <v>0</v>
      </c>
      <c r="AY199" s="150">
        <f t="shared" si="164"/>
        <v>0</v>
      </c>
      <c r="AZ199" s="150">
        <f t="shared" si="165"/>
        <v>0</v>
      </c>
      <c r="BA199" s="150">
        <f t="shared" si="197"/>
        <v>0</v>
      </c>
      <c r="BB199" s="150">
        <f t="shared" si="166"/>
        <v>0</v>
      </c>
      <c r="BC199" s="150">
        <f t="shared" si="167"/>
        <v>0</v>
      </c>
      <c r="BD199" s="150">
        <f t="shared" si="168"/>
        <v>0</v>
      </c>
      <c r="BE199" s="150">
        <f t="shared" si="169"/>
        <v>0</v>
      </c>
      <c r="BF199" s="150">
        <f t="shared" si="198"/>
        <v>0</v>
      </c>
      <c r="BG199" s="150">
        <f t="shared" si="170"/>
        <v>0</v>
      </c>
      <c r="BH199" s="150">
        <f t="shared" si="171"/>
        <v>0</v>
      </c>
      <c r="BI199" s="150">
        <f t="shared" si="172"/>
        <v>0</v>
      </c>
      <c r="BJ199" s="150">
        <f t="shared" si="173"/>
        <v>0</v>
      </c>
      <c r="BK199" s="150">
        <f t="shared" si="199"/>
        <v>109480</v>
      </c>
      <c r="BL199" s="150">
        <f t="shared" si="174"/>
        <v>547.4</v>
      </c>
      <c r="BM199" s="150">
        <f t="shared" si="175"/>
        <v>0</v>
      </c>
      <c r="BN199" s="150">
        <f t="shared" si="176"/>
        <v>920</v>
      </c>
      <c r="BO199" s="150">
        <f t="shared" si="177"/>
        <v>108560</v>
      </c>
      <c r="BP199" s="150">
        <f t="shared" si="200"/>
        <v>12000</v>
      </c>
      <c r="BQ199" s="150">
        <f t="shared" si="178"/>
        <v>50</v>
      </c>
      <c r="BR199" s="150">
        <f t="shared" si="179"/>
        <v>0</v>
      </c>
      <c r="BS199" s="150">
        <f t="shared" si="180"/>
        <v>0</v>
      </c>
      <c r="BT199" s="150">
        <f t="shared" si="181"/>
        <v>12000</v>
      </c>
      <c r="BU199" s="150">
        <f t="shared" si="201"/>
        <v>0</v>
      </c>
      <c r="BV199" s="150">
        <f t="shared" si="182"/>
        <v>0</v>
      </c>
      <c r="BW199" s="150">
        <f t="shared" si="183"/>
        <v>0</v>
      </c>
      <c r="BX199" s="150">
        <f t="shared" si="184"/>
        <v>0</v>
      </c>
      <c r="BY199" s="150">
        <f t="shared" si="185"/>
        <v>0</v>
      </c>
      <c r="BZ199" s="147">
        <f t="shared" si="202"/>
        <v>920</v>
      </c>
      <c r="CA199" s="147">
        <f t="shared" si="203"/>
        <v>190676.11000000013</v>
      </c>
    </row>
    <row r="200" spans="11:79">
      <c r="K200" s="132">
        <f t="shared" si="186"/>
        <v>148</v>
      </c>
      <c r="L200" s="148">
        <f t="shared" si="136"/>
        <v>50160</v>
      </c>
      <c r="M200" s="131">
        <f t="shared" si="187"/>
        <v>1723.8</v>
      </c>
      <c r="N200" s="131">
        <f t="shared" si="137"/>
        <v>31.6</v>
      </c>
      <c r="O200" s="131">
        <f t="shared" si="138"/>
        <v>188.4</v>
      </c>
      <c r="P200" s="131">
        <f t="shared" si="139"/>
        <v>750</v>
      </c>
      <c r="Q200" s="131">
        <f t="shared" si="140"/>
        <v>785.4</v>
      </c>
      <c r="R200" s="131">
        <f t="shared" si="188"/>
        <v>0</v>
      </c>
      <c r="S200" s="131">
        <f t="shared" si="141"/>
        <v>0</v>
      </c>
      <c r="T200" s="131">
        <f t="shared" si="142"/>
        <v>0</v>
      </c>
      <c r="U200" s="131">
        <f t="shared" si="143"/>
        <v>0</v>
      </c>
      <c r="V200" s="131">
        <f t="shared" si="144"/>
        <v>0</v>
      </c>
      <c r="W200" s="131">
        <f t="shared" si="189"/>
        <v>0</v>
      </c>
      <c r="X200" s="131">
        <f t="shared" si="145"/>
        <v>0</v>
      </c>
      <c r="Y200" s="131">
        <f t="shared" si="146"/>
        <v>0</v>
      </c>
      <c r="Z200" s="131">
        <f t="shared" si="147"/>
        <v>0</v>
      </c>
      <c r="AA200" s="131">
        <f t="shared" si="148"/>
        <v>0</v>
      </c>
      <c r="AB200" s="131">
        <f t="shared" si="190"/>
        <v>115000</v>
      </c>
      <c r="AC200" s="131">
        <f t="shared" si="149"/>
        <v>575</v>
      </c>
      <c r="AD200" s="131">
        <f t="shared" si="150"/>
        <v>0</v>
      </c>
      <c r="AE200" s="131">
        <f t="shared" si="151"/>
        <v>0</v>
      </c>
      <c r="AF200" s="131">
        <f t="shared" si="152"/>
        <v>115000</v>
      </c>
      <c r="AG200" s="131">
        <f t="shared" si="191"/>
        <v>0</v>
      </c>
      <c r="AH200" s="131">
        <f t="shared" si="153"/>
        <v>0</v>
      </c>
      <c r="AI200" s="131">
        <f t="shared" si="154"/>
        <v>0</v>
      </c>
      <c r="AJ200" s="131">
        <f t="shared" si="155"/>
        <v>0</v>
      </c>
      <c r="AK200" s="131">
        <f t="shared" si="156"/>
        <v>0</v>
      </c>
      <c r="AL200" s="131">
        <f t="shared" si="192"/>
        <v>0</v>
      </c>
      <c r="AM200" s="131">
        <f t="shared" si="157"/>
        <v>0</v>
      </c>
      <c r="AN200" s="131">
        <f t="shared" si="158"/>
        <v>0</v>
      </c>
      <c r="AO200" s="131">
        <f t="shared" si="159"/>
        <v>0</v>
      </c>
      <c r="AP200" s="131">
        <f t="shared" si="160"/>
        <v>0</v>
      </c>
      <c r="AQ200" s="149">
        <f t="shared" si="193"/>
        <v>750</v>
      </c>
      <c r="AR200" s="149">
        <f t="shared" si="194"/>
        <v>204354.75000000041</v>
      </c>
      <c r="AS200" s="133"/>
      <c r="AT200" s="132">
        <f t="shared" si="195"/>
        <v>148</v>
      </c>
      <c r="AU200" s="148">
        <f t="shared" si="161"/>
        <v>50160</v>
      </c>
      <c r="AV200" s="131">
        <f t="shared" si="196"/>
        <v>0</v>
      </c>
      <c r="AW200" s="131">
        <f t="shared" si="162"/>
        <v>0</v>
      </c>
      <c r="AX200" s="131">
        <f t="shared" si="163"/>
        <v>0</v>
      </c>
      <c r="AY200" s="131">
        <f t="shared" si="164"/>
        <v>0</v>
      </c>
      <c r="AZ200" s="131">
        <f t="shared" si="165"/>
        <v>0</v>
      </c>
      <c r="BA200" s="131">
        <f t="shared" si="197"/>
        <v>0</v>
      </c>
      <c r="BB200" s="131">
        <f t="shared" si="166"/>
        <v>0</v>
      </c>
      <c r="BC200" s="131">
        <f t="shared" si="167"/>
        <v>0</v>
      </c>
      <c r="BD200" s="131">
        <f t="shared" si="168"/>
        <v>0</v>
      </c>
      <c r="BE200" s="131">
        <f t="shared" si="169"/>
        <v>0</v>
      </c>
      <c r="BF200" s="131">
        <f t="shared" si="198"/>
        <v>0</v>
      </c>
      <c r="BG200" s="131">
        <f t="shared" si="170"/>
        <v>0</v>
      </c>
      <c r="BH200" s="131">
        <f t="shared" si="171"/>
        <v>0</v>
      </c>
      <c r="BI200" s="131">
        <f t="shared" si="172"/>
        <v>0</v>
      </c>
      <c r="BJ200" s="131">
        <f t="shared" si="173"/>
        <v>0</v>
      </c>
      <c r="BK200" s="131">
        <f t="shared" si="199"/>
        <v>108560</v>
      </c>
      <c r="BL200" s="131">
        <f t="shared" si="174"/>
        <v>542.79999999999995</v>
      </c>
      <c r="BM200" s="131">
        <f t="shared" si="175"/>
        <v>0</v>
      </c>
      <c r="BN200" s="131">
        <f t="shared" si="176"/>
        <v>920</v>
      </c>
      <c r="BO200" s="131">
        <f t="shared" si="177"/>
        <v>107640</v>
      </c>
      <c r="BP200" s="131">
        <f t="shared" si="200"/>
        <v>12000</v>
      </c>
      <c r="BQ200" s="131">
        <f t="shared" si="178"/>
        <v>50</v>
      </c>
      <c r="BR200" s="131">
        <f t="shared" si="179"/>
        <v>0</v>
      </c>
      <c r="BS200" s="131">
        <f t="shared" si="180"/>
        <v>0</v>
      </c>
      <c r="BT200" s="131">
        <f t="shared" si="181"/>
        <v>12000</v>
      </c>
      <c r="BU200" s="131">
        <f t="shared" si="201"/>
        <v>0</v>
      </c>
      <c r="BV200" s="131">
        <f t="shared" si="182"/>
        <v>0</v>
      </c>
      <c r="BW200" s="131">
        <f t="shared" si="183"/>
        <v>0</v>
      </c>
      <c r="BX200" s="131">
        <f t="shared" si="184"/>
        <v>0</v>
      </c>
      <c r="BY200" s="131">
        <f t="shared" si="185"/>
        <v>0</v>
      </c>
      <c r="BZ200" s="147">
        <f t="shared" si="202"/>
        <v>920</v>
      </c>
      <c r="CA200" s="147">
        <f t="shared" si="203"/>
        <v>191268.91000000012</v>
      </c>
    </row>
    <row r="201" spans="11:79">
      <c r="K201" s="152">
        <f t="shared" si="186"/>
        <v>149</v>
      </c>
      <c r="L201" s="151">
        <f t="shared" si="136"/>
        <v>50191</v>
      </c>
      <c r="M201" s="150">
        <f t="shared" si="187"/>
        <v>785.4</v>
      </c>
      <c r="N201" s="150">
        <f t="shared" si="137"/>
        <v>14.4</v>
      </c>
      <c r="O201" s="150">
        <f t="shared" si="138"/>
        <v>205.6</v>
      </c>
      <c r="P201" s="150">
        <f t="shared" si="139"/>
        <v>579.79999999999995</v>
      </c>
      <c r="Q201" s="150">
        <f t="shared" si="140"/>
        <v>0</v>
      </c>
      <c r="R201" s="150">
        <f t="shared" si="188"/>
        <v>0</v>
      </c>
      <c r="S201" s="150">
        <f t="shared" si="141"/>
        <v>0</v>
      </c>
      <c r="T201" s="150">
        <f t="shared" si="142"/>
        <v>0</v>
      </c>
      <c r="U201" s="150">
        <f t="shared" si="143"/>
        <v>0</v>
      </c>
      <c r="V201" s="150">
        <f t="shared" si="144"/>
        <v>0</v>
      </c>
      <c r="W201" s="150">
        <f t="shared" si="189"/>
        <v>0</v>
      </c>
      <c r="X201" s="150">
        <f t="shared" si="145"/>
        <v>0</v>
      </c>
      <c r="Y201" s="150">
        <f t="shared" si="146"/>
        <v>0</v>
      </c>
      <c r="Z201" s="150">
        <f t="shared" si="147"/>
        <v>0</v>
      </c>
      <c r="AA201" s="150">
        <f t="shared" si="148"/>
        <v>0</v>
      </c>
      <c r="AB201" s="150">
        <f t="shared" si="190"/>
        <v>115000</v>
      </c>
      <c r="AC201" s="150">
        <f t="shared" si="149"/>
        <v>575</v>
      </c>
      <c r="AD201" s="150">
        <f t="shared" si="150"/>
        <v>0</v>
      </c>
      <c r="AE201" s="150">
        <f t="shared" si="151"/>
        <v>0</v>
      </c>
      <c r="AF201" s="150">
        <f t="shared" si="152"/>
        <v>115000</v>
      </c>
      <c r="AG201" s="150">
        <f t="shared" si="191"/>
        <v>0</v>
      </c>
      <c r="AH201" s="150">
        <f t="shared" si="153"/>
        <v>0</v>
      </c>
      <c r="AI201" s="150">
        <f t="shared" si="154"/>
        <v>0</v>
      </c>
      <c r="AJ201" s="150">
        <f t="shared" si="155"/>
        <v>0</v>
      </c>
      <c r="AK201" s="150">
        <f t="shared" si="156"/>
        <v>0</v>
      </c>
      <c r="AL201" s="150">
        <f t="shared" si="192"/>
        <v>0</v>
      </c>
      <c r="AM201" s="150">
        <f t="shared" si="157"/>
        <v>0</v>
      </c>
      <c r="AN201" s="150">
        <f t="shared" si="158"/>
        <v>0</v>
      </c>
      <c r="AO201" s="150">
        <f t="shared" si="159"/>
        <v>0</v>
      </c>
      <c r="AP201" s="150">
        <f t="shared" si="160"/>
        <v>0</v>
      </c>
      <c r="AQ201" s="149">
        <f t="shared" si="193"/>
        <v>750</v>
      </c>
      <c r="AR201" s="149">
        <f t="shared" si="194"/>
        <v>204944.1500000004</v>
      </c>
      <c r="AS201" s="133"/>
      <c r="AT201" s="152">
        <f t="shared" si="195"/>
        <v>149</v>
      </c>
      <c r="AU201" s="151">
        <f t="shared" si="161"/>
        <v>50191</v>
      </c>
      <c r="AV201" s="150">
        <f t="shared" si="196"/>
        <v>0</v>
      </c>
      <c r="AW201" s="150">
        <f t="shared" si="162"/>
        <v>0</v>
      </c>
      <c r="AX201" s="150">
        <f t="shared" si="163"/>
        <v>0</v>
      </c>
      <c r="AY201" s="150">
        <f t="shared" si="164"/>
        <v>0</v>
      </c>
      <c r="AZ201" s="150">
        <f t="shared" si="165"/>
        <v>0</v>
      </c>
      <c r="BA201" s="150">
        <f t="shared" si="197"/>
        <v>0</v>
      </c>
      <c r="BB201" s="150">
        <f t="shared" si="166"/>
        <v>0</v>
      </c>
      <c r="BC201" s="150">
        <f t="shared" si="167"/>
        <v>0</v>
      </c>
      <c r="BD201" s="150">
        <f t="shared" si="168"/>
        <v>0</v>
      </c>
      <c r="BE201" s="150">
        <f t="shared" si="169"/>
        <v>0</v>
      </c>
      <c r="BF201" s="150">
        <f t="shared" si="198"/>
        <v>0</v>
      </c>
      <c r="BG201" s="150">
        <f t="shared" si="170"/>
        <v>0</v>
      </c>
      <c r="BH201" s="150">
        <f t="shared" si="171"/>
        <v>0</v>
      </c>
      <c r="BI201" s="150">
        <f t="shared" si="172"/>
        <v>0</v>
      </c>
      <c r="BJ201" s="150">
        <f t="shared" si="173"/>
        <v>0</v>
      </c>
      <c r="BK201" s="150">
        <f t="shared" si="199"/>
        <v>107640</v>
      </c>
      <c r="BL201" s="150">
        <f t="shared" si="174"/>
        <v>538.20000000000005</v>
      </c>
      <c r="BM201" s="150">
        <f t="shared" si="175"/>
        <v>0</v>
      </c>
      <c r="BN201" s="150">
        <f t="shared" si="176"/>
        <v>920</v>
      </c>
      <c r="BO201" s="150">
        <f t="shared" si="177"/>
        <v>106720</v>
      </c>
      <c r="BP201" s="150">
        <f t="shared" si="200"/>
        <v>12000</v>
      </c>
      <c r="BQ201" s="150">
        <f t="shared" si="178"/>
        <v>50</v>
      </c>
      <c r="BR201" s="150">
        <f t="shared" si="179"/>
        <v>0</v>
      </c>
      <c r="BS201" s="150">
        <f t="shared" si="180"/>
        <v>0</v>
      </c>
      <c r="BT201" s="150">
        <f t="shared" si="181"/>
        <v>12000</v>
      </c>
      <c r="BU201" s="150">
        <f t="shared" si="201"/>
        <v>0</v>
      </c>
      <c r="BV201" s="150">
        <f t="shared" si="182"/>
        <v>0</v>
      </c>
      <c r="BW201" s="150">
        <f t="shared" si="183"/>
        <v>0</v>
      </c>
      <c r="BX201" s="150">
        <f t="shared" si="184"/>
        <v>0</v>
      </c>
      <c r="BY201" s="150">
        <f t="shared" si="185"/>
        <v>0</v>
      </c>
      <c r="BZ201" s="147">
        <f t="shared" si="202"/>
        <v>920</v>
      </c>
      <c r="CA201" s="147">
        <f t="shared" si="203"/>
        <v>191857.11000000013</v>
      </c>
    </row>
    <row r="202" spans="11:79">
      <c r="K202" s="132">
        <f t="shared" si="186"/>
        <v>150</v>
      </c>
      <c r="L202" s="148">
        <f t="shared" si="136"/>
        <v>50221</v>
      </c>
      <c r="M202" s="131">
        <f t="shared" si="187"/>
        <v>0</v>
      </c>
      <c r="N202" s="131">
        <f t="shared" si="137"/>
        <v>0</v>
      </c>
      <c r="O202" s="131">
        <f t="shared" si="138"/>
        <v>0</v>
      </c>
      <c r="P202" s="131">
        <f t="shared" si="139"/>
        <v>0</v>
      </c>
      <c r="Q202" s="131">
        <f t="shared" si="140"/>
        <v>0</v>
      </c>
      <c r="R202" s="131">
        <f t="shared" si="188"/>
        <v>0</v>
      </c>
      <c r="S202" s="131">
        <f t="shared" si="141"/>
        <v>0</v>
      </c>
      <c r="T202" s="131">
        <f t="shared" si="142"/>
        <v>0</v>
      </c>
      <c r="U202" s="131">
        <f t="shared" si="143"/>
        <v>0</v>
      </c>
      <c r="V202" s="131">
        <f t="shared" si="144"/>
        <v>0</v>
      </c>
      <c r="W202" s="131">
        <f t="shared" si="189"/>
        <v>0</v>
      </c>
      <c r="X202" s="131">
        <f t="shared" si="145"/>
        <v>0</v>
      </c>
      <c r="Y202" s="131">
        <f t="shared" si="146"/>
        <v>0</v>
      </c>
      <c r="Z202" s="131">
        <f t="shared" si="147"/>
        <v>0</v>
      </c>
      <c r="AA202" s="131">
        <f t="shared" si="148"/>
        <v>0</v>
      </c>
      <c r="AB202" s="131">
        <f t="shared" si="190"/>
        <v>115000</v>
      </c>
      <c r="AC202" s="131">
        <f t="shared" si="149"/>
        <v>575</v>
      </c>
      <c r="AD202" s="131">
        <f t="shared" si="150"/>
        <v>0</v>
      </c>
      <c r="AE202" s="131">
        <f t="shared" si="151"/>
        <v>970</v>
      </c>
      <c r="AF202" s="131">
        <f t="shared" si="152"/>
        <v>114030</v>
      </c>
      <c r="AG202" s="131">
        <f t="shared" si="191"/>
        <v>0</v>
      </c>
      <c r="AH202" s="131">
        <f t="shared" si="153"/>
        <v>0</v>
      </c>
      <c r="AI202" s="131">
        <f t="shared" si="154"/>
        <v>0</v>
      </c>
      <c r="AJ202" s="131">
        <f t="shared" si="155"/>
        <v>0</v>
      </c>
      <c r="AK202" s="131">
        <f t="shared" si="156"/>
        <v>0</v>
      </c>
      <c r="AL202" s="131">
        <f t="shared" si="192"/>
        <v>0</v>
      </c>
      <c r="AM202" s="131">
        <f t="shared" si="157"/>
        <v>0</v>
      </c>
      <c r="AN202" s="131">
        <f t="shared" si="158"/>
        <v>0</v>
      </c>
      <c r="AO202" s="131">
        <f t="shared" si="159"/>
        <v>0</v>
      </c>
      <c r="AP202" s="131">
        <f t="shared" si="160"/>
        <v>0</v>
      </c>
      <c r="AQ202" s="149">
        <f t="shared" si="193"/>
        <v>970</v>
      </c>
      <c r="AR202" s="149">
        <f t="shared" si="194"/>
        <v>205519.1500000004</v>
      </c>
      <c r="AS202" s="133"/>
      <c r="AT202" s="132">
        <f t="shared" si="195"/>
        <v>150</v>
      </c>
      <c r="AU202" s="148">
        <f t="shared" si="161"/>
        <v>50221</v>
      </c>
      <c r="AV202" s="131">
        <f t="shared" si="196"/>
        <v>0</v>
      </c>
      <c r="AW202" s="131">
        <f t="shared" si="162"/>
        <v>0</v>
      </c>
      <c r="AX202" s="131">
        <f t="shared" si="163"/>
        <v>0</v>
      </c>
      <c r="AY202" s="131">
        <f t="shared" si="164"/>
        <v>0</v>
      </c>
      <c r="AZ202" s="131">
        <f t="shared" si="165"/>
        <v>0</v>
      </c>
      <c r="BA202" s="131">
        <f t="shared" si="197"/>
        <v>0</v>
      </c>
      <c r="BB202" s="131">
        <f t="shared" si="166"/>
        <v>0</v>
      </c>
      <c r="BC202" s="131">
        <f t="shared" si="167"/>
        <v>0</v>
      </c>
      <c r="BD202" s="131">
        <f t="shared" si="168"/>
        <v>0</v>
      </c>
      <c r="BE202" s="131">
        <f t="shared" si="169"/>
        <v>0</v>
      </c>
      <c r="BF202" s="131">
        <f t="shared" si="198"/>
        <v>0</v>
      </c>
      <c r="BG202" s="131">
        <f t="shared" si="170"/>
        <v>0</v>
      </c>
      <c r="BH202" s="131">
        <f t="shared" si="171"/>
        <v>0</v>
      </c>
      <c r="BI202" s="131">
        <f t="shared" si="172"/>
        <v>0</v>
      </c>
      <c r="BJ202" s="131">
        <f t="shared" si="173"/>
        <v>0</v>
      </c>
      <c r="BK202" s="131">
        <f t="shared" si="199"/>
        <v>106720</v>
      </c>
      <c r="BL202" s="131">
        <f t="shared" si="174"/>
        <v>533.6</v>
      </c>
      <c r="BM202" s="131">
        <f t="shared" si="175"/>
        <v>0</v>
      </c>
      <c r="BN202" s="131">
        <f t="shared" si="176"/>
        <v>920</v>
      </c>
      <c r="BO202" s="131">
        <f t="shared" si="177"/>
        <v>105800</v>
      </c>
      <c r="BP202" s="131">
        <f t="shared" si="200"/>
        <v>12000</v>
      </c>
      <c r="BQ202" s="131">
        <f t="shared" si="178"/>
        <v>50</v>
      </c>
      <c r="BR202" s="131">
        <f t="shared" si="179"/>
        <v>0</v>
      </c>
      <c r="BS202" s="131">
        <f t="shared" si="180"/>
        <v>0</v>
      </c>
      <c r="BT202" s="131">
        <f t="shared" si="181"/>
        <v>12000</v>
      </c>
      <c r="BU202" s="131">
        <f t="shared" si="201"/>
        <v>0</v>
      </c>
      <c r="BV202" s="131">
        <f t="shared" si="182"/>
        <v>0</v>
      </c>
      <c r="BW202" s="131">
        <f t="shared" si="183"/>
        <v>0</v>
      </c>
      <c r="BX202" s="131">
        <f t="shared" si="184"/>
        <v>0</v>
      </c>
      <c r="BY202" s="131">
        <f t="shared" si="185"/>
        <v>0</v>
      </c>
      <c r="BZ202" s="147">
        <f t="shared" si="202"/>
        <v>920</v>
      </c>
      <c r="CA202" s="147">
        <f t="shared" si="203"/>
        <v>192440.71000000014</v>
      </c>
    </row>
    <row r="203" spans="11:79">
      <c r="K203" s="152">
        <f t="shared" si="186"/>
        <v>151</v>
      </c>
      <c r="L203" s="151">
        <f t="shared" si="136"/>
        <v>50252</v>
      </c>
      <c r="M203" s="150">
        <f t="shared" si="187"/>
        <v>0</v>
      </c>
      <c r="N203" s="150">
        <f t="shared" si="137"/>
        <v>0</v>
      </c>
      <c r="O203" s="150">
        <f t="shared" si="138"/>
        <v>0</v>
      </c>
      <c r="P203" s="150">
        <f t="shared" si="139"/>
        <v>0</v>
      </c>
      <c r="Q203" s="150">
        <f t="shared" si="140"/>
        <v>0</v>
      </c>
      <c r="R203" s="150">
        <f t="shared" si="188"/>
        <v>0</v>
      </c>
      <c r="S203" s="150">
        <f t="shared" si="141"/>
        <v>0</v>
      </c>
      <c r="T203" s="150">
        <f t="shared" si="142"/>
        <v>0</v>
      </c>
      <c r="U203" s="150">
        <f t="shared" si="143"/>
        <v>0</v>
      </c>
      <c r="V203" s="150">
        <f t="shared" si="144"/>
        <v>0</v>
      </c>
      <c r="W203" s="150">
        <f t="shared" si="189"/>
        <v>0</v>
      </c>
      <c r="X203" s="150">
        <f t="shared" si="145"/>
        <v>0</v>
      </c>
      <c r="Y203" s="150">
        <f t="shared" si="146"/>
        <v>0</v>
      </c>
      <c r="Z203" s="150">
        <f t="shared" si="147"/>
        <v>0</v>
      </c>
      <c r="AA203" s="150">
        <f t="shared" si="148"/>
        <v>0</v>
      </c>
      <c r="AB203" s="150">
        <f t="shared" si="190"/>
        <v>114030</v>
      </c>
      <c r="AC203" s="150">
        <f t="shared" si="149"/>
        <v>570.15</v>
      </c>
      <c r="AD203" s="150">
        <f t="shared" si="150"/>
        <v>0</v>
      </c>
      <c r="AE203" s="150">
        <f t="shared" si="151"/>
        <v>970</v>
      </c>
      <c r="AF203" s="150">
        <f t="shared" si="152"/>
        <v>113060</v>
      </c>
      <c r="AG203" s="150">
        <f t="shared" si="191"/>
        <v>0</v>
      </c>
      <c r="AH203" s="150">
        <f t="shared" si="153"/>
        <v>0</v>
      </c>
      <c r="AI203" s="150">
        <f t="shared" si="154"/>
        <v>0</v>
      </c>
      <c r="AJ203" s="150">
        <f t="shared" si="155"/>
        <v>0</v>
      </c>
      <c r="AK203" s="150">
        <f t="shared" si="156"/>
        <v>0</v>
      </c>
      <c r="AL203" s="150">
        <f t="shared" si="192"/>
        <v>0</v>
      </c>
      <c r="AM203" s="150">
        <f t="shared" si="157"/>
        <v>0</v>
      </c>
      <c r="AN203" s="150">
        <f t="shared" si="158"/>
        <v>0</v>
      </c>
      <c r="AO203" s="150">
        <f t="shared" si="159"/>
        <v>0</v>
      </c>
      <c r="AP203" s="150">
        <f t="shared" si="160"/>
        <v>0</v>
      </c>
      <c r="AQ203" s="149">
        <f t="shared" si="193"/>
        <v>970</v>
      </c>
      <c r="AR203" s="149">
        <f t="shared" si="194"/>
        <v>206089.3000000004</v>
      </c>
      <c r="AS203" s="133"/>
      <c r="AT203" s="152">
        <f t="shared" si="195"/>
        <v>151</v>
      </c>
      <c r="AU203" s="151">
        <f t="shared" si="161"/>
        <v>50252</v>
      </c>
      <c r="AV203" s="150">
        <f t="shared" si="196"/>
        <v>0</v>
      </c>
      <c r="AW203" s="150">
        <f t="shared" si="162"/>
        <v>0</v>
      </c>
      <c r="AX203" s="150">
        <f t="shared" si="163"/>
        <v>0</v>
      </c>
      <c r="AY203" s="150">
        <f t="shared" si="164"/>
        <v>0</v>
      </c>
      <c r="AZ203" s="150">
        <f t="shared" si="165"/>
        <v>0</v>
      </c>
      <c r="BA203" s="150">
        <f t="shared" si="197"/>
        <v>0</v>
      </c>
      <c r="BB203" s="150">
        <f t="shared" si="166"/>
        <v>0</v>
      </c>
      <c r="BC203" s="150">
        <f t="shared" si="167"/>
        <v>0</v>
      </c>
      <c r="BD203" s="150">
        <f t="shared" si="168"/>
        <v>0</v>
      </c>
      <c r="BE203" s="150">
        <f t="shared" si="169"/>
        <v>0</v>
      </c>
      <c r="BF203" s="150">
        <f t="shared" si="198"/>
        <v>0</v>
      </c>
      <c r="BG203" s="150">
        <f t="shared" si="170"/>
        <v>0</v>
      </c>
      <c r="BH203" s="150">
        <f t="shared" si="171"/>
        <v>0</v>
      </c>
      <c r="BI203" s="150">
        <f t="shared" si="172"/>
        <v>0</v>
      </c>
      <c r="BJ203" s="150">
        <f t="shared" si="173"/>
        <v>0</v>
      </c>
      <c r="BK203" s="150">
        <f t="shared" si="199"/>
        <v>105800</v>
      </c>
      <c r="BL203" s="150">
        <f t="shared" si="174"/>
        <v>529</v>
      </c>
      <c r="BM203" s="150">
        <f t="shared" si="175"/>
        <v>0</v>
      </c>
      <c r="BN203" s="150">
        <f t="shared" si="176"/>
        <v>920</v>
      </c>
      <c r="BO203" s="150">
        <f t="shared" si="177"/>
        <v>104880</v>
      </c>
      <c r="BP203" s="150">
        <f t="shared" si="200"/>
        <v>12000</v>
      </c>
      <c r="BQ203" s="150">
        <f t="shared" si="178"/>
        <v>50</v>
      </c>
      <c r="BR203" s="150">
        <f t="shared" si="179"/>
        <v>0</v>
      </c>
      <c r="BS203" s="150">
        <f t="shared" si="180"/>
        <v>0</v>
      </c>
      <c r="BT203" s="150">
        <f t="shared" si="181"/>
        <v>12000</v>
      </c>
      <c r="BU203" s="150">
        <f t="shared" si="201"/>
        <v>0</v>
      </c>
      <c r="BV203" s="150">
        <f t="shared" si="182"/>
        <v>0</v>
      </c>
      <c r="BW203" s="150">
        <f t="shared" si="183"/>
        <v>0</v>
      </c>
      <c r="BX203" s="150">
        <f t="shared" si="184"/>
        <v>0</v>
      </c>
      <c r="BY203" s="150">
        <f t="shared" si="185"/>
        <v>0</v>
      </c>
      <c r="BZ203" s="147">
        <f t="shared" si="202"/>
        <v>920</v>
      </c>
      <c r="CA203" s="147">
        <f t="shared" si="203"/>
        <v>193019.71000000014</v>
      </c>
    </row>
    <row r="204" spans="11:79">
      <c r="K204" s="132">
        <f t="shared" si="186"/>
        <v>152</v>
      </c>
      <c r="L204" s="148">
        <f t="shared" si="136"/>
        <v>50283</v>
      </c>
      <c r="M204" s="131">
        <f t="shared" si="187"/>
        <v>0</v>
      </c>
      <c r="N204" s="131">
        <f t="shared" si="137"/>
        <v>0</v>
      </c>
      <c r="O204" s="131">
        <f t="shared" si="138"/>
        <v>0</v>
      </c>
      <c r="P204" s="131">
        <f t="shared" si="139"/>
        <v>0</v>
      </c>
      <c r="Q204" s="131">
        <f t="shared" si="140"/>
        <v>0</v>
      </c>
      <c r="R204" s="131">
        <f t="shared" si="188"/>
        <v>0</v>
      </c>
      <c r="S204" s="131">
        <f t="shared" si="141"/>
        <v>0</v>
      </c>
      <c r="T204" s="131">
        <f t="shared" si="142"/>
        <v>0</v>
      </c>
      <c r="U204" s="131">
        <f t="shared" si="143"/>
        <v>0</v>
      </c>
      <c r="V204" s="131">
        <f t="shared" si="144"/>
        <v>0</v>
      </c>
      <c r="W204" s="131">
        <f t="shared" si="189"/>
        <v>0</v>
      </c>
      <c r="X204" s="131">
        <f t="shared" si="145"/>
        <v>0</v>
      </c>
      <c r="Y204" s="131">
        <f t="shared" si="146"/>
        <v>0</v>
      </c>
      <c r="Z204" s="131">
        <f t="shared" si="147"/>
        <v>0</v>
      </c>
      <c r="AA204" s="131">
        <f t="shared" si="148"/>
        <v>0</v>
      </c>
      <c r="AB204" s="131">
        <f t="shared" si="190"/>
        <v>113060</v>
      </c>
      <c r="AC204" s="131">
        <f t="shared" si="149"/>
        <v>565.29999999999995</v>
      </c>
      <c r="AD204" s="131">
        <f t="shared" si="150"/>
        <v>0</v>
      </c>
      <c r="AE204" s="131">
        <f t="shared" si="151"/>
        <v>970</v>
      </c>
      <c r="AF204" s="131">
        <f t="shared" si="152"/>
        <v>112090</v>
      </c>
      <c r="AG204" s="131">
        <f t="shared" si="191"/>
        <v>0</v>
      </c>
      <c r="AH204" s="131">
        <f t="shared" si="153"/>
        <v>0</v>
      </c>
      <c r="AI204" s="131">
        <f t="shared" si="154"/>
        <v>0</v>
      </c>
      <c r="AJ204" s="131">
        <f t="shared" si="155"/>
        <v>0</v>
      </c>
      <c r="AK204" s="131">
        <f t="shared" si="156"/>
        <v>0</v>
      </c>
      <c r="AL204" s="131">
        <f t="shared" si="192"/>
        <v>0</v>
      </c>
      <c r="AM204" s="131">
        <f t="shared" si="157"/>
        <v>0</v>
      </c>
      <c r="AN204" s="131">
        <f t="shared" si="158"/>
        <v>0</v>
      </c>
      <c r="AO204" s="131">
        <f t="shared" si="159"/>
        <v>0</v>
      </c>
      <c r="AP204" s="131">
        <f t="shared" si="160"/>
        <v>0</v>
      </c>
      <c r="AQ204" s="149">
        <f t="shared" si="193"/>
        <v>970</v>
      </c>
      <c r="AR204" s="149">
        <f t="shared" si="194"/>
        <v>206654.60000000038</v>
      </c>
      <c r="AS204" s="133"/>
      <c r="AT204" s="132">
        <f t="shared" si="195"/>
        <v>152</v>
      </c>
      <c r="AU204" s="148">
        <f t="shared" si="161"/>
        <v>50283</v>
      </c>
      <c r="AV204" s="131">
        <f t="shared" si="196"/>
        <v>0</v>
      </c>
      <c r="AW204" s="131">
        <f t="shared" si="162"/>
        <v>0</v>
      </c>
      <c r="AX204" s="131">
        <f t="shared" si="163"/>
        <v>0</v>
      </c>
      <c r="AY204" s="131">
        <f t="shared" si="164"/>
        <v>0</v>
      </c>
      <c r="AZ204" s="131">
        <f t="shared" si="165"/>
        <v>0</v>
      </c>
      <c r="BA204" s="131">
        <f t="shared" si="197"/>
        <v>0</v>
      </c>
      <c r="BB204" s="131">
        <f t="shared" si="166"/>
        <v>0</v>
      </c>
      <c r="BC204" s="131">
        <f t="shared" si="167"/>
        <v>0</v>
      </c>
      <c r="BD204" s="131">
        <f t="shared" si="168"/>
        <v>0</v>
      </c>
      <c r="BE204" s="131">
        <f t="shared" si="169"/>
        <v>0</v>
      </c>
      <c r="BF204" s="131">
        <f t="shared" si="198"/>
        <v>0</v>
      </c>
      <c r="BG204" s="131">
        <f t="shared" si="170"/>
        <v>0</v>
      </c>
      <c r="BH204" s="131">
        <f t="shared" si="171"/>
        <v>0</v>
      </c>
      <c r="BI204" s="131">
        <f t="shared" si="172"/>
        <v>0</v>
      </c>
      <c r="BJ204" s="131">
        <f t="shared" si="173"/>
        <v>0</v>
      </c>
      <c r="BK204" s="131">
        <f t="shared" si="199"/>
        <v>104880</v>
      </c>
      <c r="BL204" s="131">
        <f t="shared" si="174"/>
        <v>524.4</v>
      </c>
      <c r="BM204" s="131">
        <f t="shared" si="175"/>
        <v>0</v>
      </c>
      <c r="BN204" s="131">
        <f t="shared" si="176"/>
        <v>920</v>
      </c>
      <c r="BO204" s="131">
        <f t="shared" si="177"/>
        <v>103960</v>
      </c>
      <c r="BP204" s="131">
        <f t="shared" si="200"/>
        <v>12000</v>
      </c>
      <c r="BQ204" s="131">
        <f t="shared" si="178"/>
        <v>50</v>
      </c>
      <c r="BR204" s="131">
        <f t="shared" si="179"/>
        <v>0</v>
      </c>
      <c r="BS204" s="131">
        <f t="shared" si="180"/>
        <v>0</v>
      </c>
      <c r="BT204" s="131">
        <f t="shared" si="181"/>
        <v>12000</v>
      </c>
      <c r="BU204" s="131">
        <f t="shared" si="201"/>
        <v>0</v>
      </c>
      <c r="BV204" s="131">
        <f t="shared" si="182"/>
        <v>0</v>
      </c>
      <c r="BW204" s="131">
        <f t="shared" si="183"/>
        <v>0</v>
      </c>
      <c r="BX204" s="131">
        <f t="shared" si="184"/>
        <v>0</v>
      </c>
      <c r="BY204" s="131">
        <f t="shared" si="185"/>
        <v>0</v>
      </c>
      <c r="BZ204" s="147">
        <f t="shared" si="202"/>
        <v>920</v>
      </c>
      <c r="CA204" s="147">
        <f t="shared" si="203"/>
        <v>193594.11000000013</v>
      </c>
    </row>
    <row r="205" spans="11:79">
      <c r="K205" s="152">
        <f t="shared" si="186"/>
        <v>153</v>
      </c>
      <c r="L205" s="151">
        <f t="shared" si="136"/>
        <v>50313</v>
      </c>
      <c r="M205" s="150">
        <f t="shared" si="187"/>
        <v>0</v>
      </c>
      <c r="N205" s="150">
        <f t="shared" si="137"/>
        <v>0</v>
      </c>
      <c r="O205" s="150">
        <f t="shared" si="138"/>
        <v>0</v>
      </c>
      <c r="P205" s="150">
        <f t="shared" si="139"/>
        <v>0</v>
      </c>
      <c r="Q205" s="150">
        <f t="shared" si="140"/>
        <v>0</v>
      </c>
      <c r="R205" s="150">
        <f t="shared" si="188"/>
        <v>0</v>
      </c>
      <c r="S205" s="150">
        <f t="shared" si="141"/>
        <v>0</v>
      </c>
      <c r="T205" s="150">
        <f t="shared" si="142"/>
        <v>0</v>
      </c>
      <c r="U205" s="150">
        <f t="shared" si="143"/>
        <v>0</v>
      </c>
      <c r="V205" s="150">
        <f t="shared" si="144"/>
        <v>0</v>
      </c>
      <c r="W205" s="150">
        <f t="shared" si="189"/>
        <v>0</v>
      </c>
      <c r="X205" s="150">
        <f t="shared" si="145"/>
        <v>0</v>
      </c>
      <c r="Y205" s="150">
        <f t="shared" si="146"/>
        <v>0</v>
      </c>
      <c r="Z205" s="150">
        <f t="shared" si="147"/>
        <v>0</v>
      </c>
      <c r="AA205" s="150">
        <f t="shared" si="148"/>
        <v>0</v>
      </c>
      <c r="AB205" s="150">
        <f t="shared" si="190"/>
        <v>112090</v>
      </c>
      <c r="AC205" s="150">
        <f t="shared" si="149"/>
        <v>560.45000000000005</v>
      </c>
      <c r="AD205" s="150">
        <f t="shared" si="150"/>
        <v>0</v>
      </c>
      <c r="AE205" s="150">
        <f t="shared" si="151"/>
        <v>970</v>
      </c>
      <c r="AF205" s="150">
        <f t="shared" si="152"/>
        <v>111120</v>
      </c>
      <c r="AG205" s="150">
        <f t="shared" si="191"/>
        <v>0</v>
      </c>
      <c r="AH205" s="150">
        <f t="shared" si="153"/>
        <v>0</v>
      </c>
      <c r="AI205" s="150">
        <f t="shared" si="154"/>
        <v>0</v>
      </c>
      <c r="AJ205" s="150">
        <f t="shared" si="155"/>
        <v>0</v>
      </c>
      <c r="AK205" s="150">
        <f t="shared" si="156"/>
        <v>0</v>
      </c>
      <c r="AL205" s="150">
        <f t="shared" si="192"/>
        <v>0</v>
      </c>
      <c r="AM205" s="150">
        <f t="shared" si="157"/>
        <v>0</v>
      </c>
      <c r="AN205" s="150">
        <f t="shared" si="158"/>
        <v>0</v>
      </c>
      <c r="AO205" s="150">
        <f t="shared" si="159"/>
        <v>0</v>
      </c>
      <c r="AP205" s="150">
        <f t="shared" si="160"/>
        <v>0</v>
      </c>
      <c r="AQ205" s="149">
        <f t="shared" si="193"/>
        <v>970</v>
      </c>
      <c r="AR205" s="149">
        <f t="shared" si="194"/>
        <v>207215.0500000004</v>
      </c>
      <c r="AS205" s="133"/>
      <c r="AT205" s="152">
        <f t="shared" si="195"/>
        <v>153</v>
      </c>
      <c r="AU205" s="151">
        <f t="shared" si="161"/>
        <v>50313</v>
      </c>
      <c r="AV205" s="150">
        <f t="shared" si="196"/>
        <v>0</v>
      </c>
      <c r="AW205" s="150">
        <f t="shared" si="162"/>
        <v>0</v>
      </c>
      <c r="AX205" s="150">
        <f t="shared" si="163"/>
        <v>0</v>
      </c>
      <c r="AY205" s="150">
        <f t="shared" si="164"/>
        <v>0</v>
      </c>
      <c r="AZ205" s="150">
        <f t="shared" si="165"/>
        <v>0</v>
      </c>
      <c r="BA205" s="150">
        <f t="shared" si="197"/>
        <v>0</v>
      </c>
      <c r="BB205" s="150">
        <f t="shared" si="166"/>
        <v>0</v>
      </c>
      <c r="BC205" s="150">
        <f t="shared" si="167"/>
        <v>0</v>
      </c>
      <c r="BD205" s="150">
        <f t="shared" si="168"/>
        <v>0</v>
      </c>
      <c r="BE205" s="150">
        <f t="shared" si="169"/>
        <v>0</v>
      </c>
      <c r="BF205" s="150">
        <f t="shared" si="198"/>
        <v>0</v>
      </c>
      <c r="BG205" s="150">
        <f t="shared" si="170"/>
        <v>0</v>
      </c>
      <c r="BH205" s="150">
        <f t="shared" si="171"/>
        <v>0</v>
      </c>
      <c r="BI205" s="150">
        <f t="shared" si="172"/>
        <v>0</v>
      </c>
      <c r="BJ205" s="150">
        <f t="shared" si="173"/>
        <v>0</v>
      </c>
      <c r="BK205" s="150">
        <f t="shared" si="199"/>
        <v>103960</v>
      </c>
      <c r="BL205" s="150">
        <f t="shared" si="174"/>
        <v>519.79999999999995</v>
      </c>
      <c r="BM205" s="150">
        <f t="shared" si="175"/>
        <v>0</v>
      </c>
      <c r="BN205" s="150">
        <f t="shared" si="176"/>
        <v>920</v>
      </c>
      <c r="BO205" s="150">
        <f t="shared" si="177"/>
        <v>103040</v>
      </c>
      <c r="BP205" s="150">
        <f t="shared" si="200"/>
        <v>12000</v>
      </c>
      <c r="BQ205" s="150">
        <f t="shared" si="178"/>
        <v>50</v>
      </c>
      <c r="BR205" s="150">
        <f t="shared" si="179"/>
        <v>0</v>
      </c>
      <c r="BS205" s="150">
        <f t="shared" si="180"/>
        <v>0</v>
      </c>
      <c r="BT205" s="150">
        <f t="shared" si="181"/>
        <v>12000</v>
      </c>
      <c r="BU205" s="150">
        <f t="shared" si="201"/>
        <v>0</v>
      </c>
      <c r="BV205" s="150">
        <f t="shared" si="182"/>
        <v>0</v>
      </c>
      <c r="BW205" s="150">
        <f t="shared" si="183"/>
        <v>0</v>
      </c>
      <c r="BX205" s="150">
        <f t="shared" si="184"/>
        <v>0</v>
      </c>
      <c r="BY205" s="150">
        <f t="shared" si="185"/>
        <v>0</v>
      </c>
      <c r="BZ205" s="147">
        <f t="shared" si="202"/>
        <v>920</v>
      </c>
      <c r="CA205" s="147">
        <f t="shared" si="203"/>
        <v>194163.91000000012</v>
      </c>
    </row>
    <row r="206" spans="11:79">
      <c r="K206" s="132">
        <f t="shared" si="186"/>
        <v>154</v>
      </c>
      <c r="L206" s="148">
        <f t="shared" si="136"/>
        <v>50344</v>
      </c>
      <c r="M206" s="131">
        <f t="shared" si="187"/>
        <v>0</v>
      </c>
      <c r="N206" s="131">
        <f t="shared" si="137"/>
        <v>0</v>
      </c>
      <c r="O206" s="131">
        <f t="shared" si="138"/>
        <v>0</v>
      </c>
      <c r="P206" s="131">
        <f t="shared" si="139"/>
        <v>0</v>
      </c>
      <c r="Q206" s="131">
        <f t="shared" si="140"/>
        <v>0</v>
      </c>
      <c r="R206" s="131">
        <f t="shared" si="188"/>
        <v>0</v>
      </c>
      <c r="S206" s="131">
        <f t="shared" si="141"/>
        <v>0</v>
      </c>
      <c r="T206" s="131">
        <f t="shared" si="142"/>
        <v>0</v>
      </c>
      <c r="U206" s="131">
        <f t="shared" si="143"/>
        <v>0</v>
      </c>
      <c r="V206" s="131">
        <f t="shared" si="144"/>
        <v>0</v>
      </c>
      <c r="W206" s="131">
        <f t="shared" si="189"/>
        <v>0</v>
      </c>
      <c r="X206" s="131">
        <f t="shared" si="145"/>
        <v>0</v>
      </c>
      <c r="Y206" s="131">
        <f t="shared" si="146"/>
        <v>0</v>
      </c>
      <c r="Z206" s="131">
        <f t="shared" si="147"/>
        <v>0</v>
      </c>
      <c r="AA206" s="131">
        <f t="shared" si="148"/>
        <v>0</v>
      </c>
      <c r="AB206" s="131">
        <f t="shared" si="190"/>
        <v>111120</v>
      </c>
      <c r="AC206" s="131">
        <f t="shared" si="149"/>
        <v>555.6</v>
      </c>
      <c r="AD206" s="131">
        <f t="shared" si="150"/>
        <v>0</v>
      </c>
      <c r="AE206" s="131">
        <f t="shared" si="151"/>
        <v>970</v>
      </c>
      <c r="AF206" s="131">
        <f t="shared" si="152"/>
        <v>110150</v>
      </c>
      <c r="AG206" s="131">
        <f t="shared" si="191"/>
        <v>0</v>
      </c>
      <c r="AH206" s="131">
        <f t="shared" si="153"/>
        <v>0</v>
      </c>
      <c r="AI206" s="131">
        <f t="shared" si="154"/>
        <v>0</v>
      </c>
      <c r="AJ206" s="131">
        <f t="shared" si="155"/>
        <v>0</v>
      </c>
      <c r="AK206" s="131">
        <f t="shared" si="156"/>
        <v>0</v>
      </c>
      <c r="AL206" s="131">
        <f t="shared" si="192"/>
        <v>0</v>
      </c>
      <c r="AM206" s="131">
        <f t="shared" si="157"/>
        <v>0</v>
      </c>
      <c r="AN206" s="131">
        <f t="shared" si="158"/>
        <v>0</v>
      </c>
      <c r="AO206" s="131">
        <f t="shared" si="159"/>
        <v>0</v>
      </c>
      <c r="AP206" s="131">
        <f t="shared" si="160"/>
        <v>0</v>
      </c>
      <c r="AQ206" s="149">
        <f t="shared" si="193"/>
        <v>970</v>
      </c>
      <c r="AR206" s="149">
        <f t="shared" si="194"/>
        <v>207770.6500000004</v>
      </c>
      <c r="AS206" s="133"/>
      <c r="AT206" s="132">
        <f t="shared" si="195"/>
        <v>154</v>
      </c>
      <c r="AU206" s="148">
        <f t="shared" si="161"/>
        <v>50344</v>
      </c>
      <c r="AV206" s="131">
        <f t="shared" si="196"/>
        <v>0</v>
      </c>
      <c r="AW206" s="131">
        <f t="shared" si="162"/>
        <v>0</v>
      </c>
      <c r="AX206" s="131">
        <f t="shared" si="163"/>
        <v>0</v>
      </c>
      <c r="AY206" s="131">
        <f t="shared" si="164"/>
        <v>0</v>
      </c>
      <c r="AZ206" s="131">
        <f t="shared" si="165"/>
        <v>0</v>
      </c>
      <c r="BA206" s="131">
        <f t="shared" si="197"/>
        <v>0</v>
      </c>
      <c r="BB206" s="131">
        <f t="shared" si="166"/>
        <v>0</v>
      </c>
      <c r="BC206" s="131">
        <f t="shared" si="167"/>
        <v>0</v>
      </c>
      <c r="BD206" s="131">
        <f t="shared" si="168"/>
        <v>0</v>
      </c>
      <c r="BE206" s="131">
        <f t="shared" si="169"/>
        <v>0</v>
      </c>
      <c r="BF206" s="131">
        <f t="shared" si="198"/>
        <v>0</v>
      </c>
      <c r="BG206" s="131">
        <f t="shared" si="170"/>
        <v>0</v>
      </c>
      <c r="BH206" s="131">
        <f t="shared" si="171"/>
        <v>0</v>
      </c>
      <c r="BI206" s="131">
        <f t="shared" si="172"/>
        <v>0</v>
      </c>
      <c r="BJ206" s="131">
        <f t="shared" si="173"/>
        <v>0</v>
      </c>
      <c r="BK206" s="131">
        <f t="shared" si="199"/>
        <v>103040</v>
      </c>
      <c r="BL206" s="131">
        <f t="shared" si="174"/>
        <v>515.20000000000005</v>
      </c>
      <c r="BM206" s="131">
        <f t="shared" si="175"/>
        <v>0</v>
      </c>
      <c r="BN206" s="131">
        <f t="shared" si="176"/>
        <v>920</v>
      </c>
      <c r="BO206" s="131">
        <f t="shared" si="177"/>
        <v>102120</v>
      </c>
      <c r="BP206" s="131">
        <f t="shared" si="200"/>
        <v>12000</v>
      </c>
      <c r="BQ206" s="131">
        <f t="shared" si="178"/>
        <v>50</v>
      </c>
      <c r="BR206" s="131">
        <f t="shared" si="179"/>
        <v>0</v>
      </c>
      <c r="BS206" s="131">
        <f t="shared" si="180"/>
        <v>0</v>
      </c>
      <c r="BT206" s="131">
        <f t="shared" si="181"/>
        <v>12000</v>
      </c>
      <c r="BU206" s="131">
        <f t="shared" si="201"/>
        <v>0</v>
      </c>
      <c r="BV206" s="131">
        <f t="shared" si="182"/>
        <v>0</v>
      </c>
      <c r="BW206" s="131">
        <f t="shared" si="183"/>
        <v>0</v>
      </c>
      <c r="BX206" s="131">
        <f t="shared" si="184"/>
        <v>0</v>
      </c>
      <c r="BY206" s="131">
        <f t="shared" si="185"/>
        <v>0</v>
      </c>
      <c r="BZ206" s="147">
        <f t="shared" si="202"/>
        <v>920</v>
      </c>
      <c r="CA206" s="147">
        <f t="shared" si="203"/>
        <v>194729.11000000013</v>
      </c>
    </row>
    <row r="207" spans="11:79">
      <c r="K207" s="152">
        <f t="shared" si="186"/>
        <v>155</v>
      </c>
      <c r="L207" s="151">
        <f t="shared" si="136"/>
        <v>50374</v>
      </c>
      <c r="M207" s="150">
        <f t="shared" si="187"/>
        <v>0</v>
      </c>
      <c r="N207" s="150">
        <f t="shared" si="137"/>
        <v>0</v>
      </c>
      <c r="O207" s="150">
        <f t="shared" si="138"/>
        <v>0</v>
      </c>
      <c r="P207" s="150">
        <f t="shared" si="139"/>
        <v>0</v>
      </c>
      <c r="Q207" s="150">
        <f t="shared" si="140"/>
        <v>0</v>
      </c>
      <c r="R207" s="150">
        <f t="shared" si="188"/>
        <v>0</v>
      </c>
      <c r="S207" s="150">
        <f t="shared" si="141"/>
        <v>0</v>
      </c>
      <c r="T207" s="150">
        <f t="shared" si="142"/>
        <v>0</v>
      </c>
      <c r="U207" s="150">
        <f t="shared" si="143"/>
        <v>0</v>
      </c>
      <c r="V207" s="150">
        <f t="shared" si="144"/>
        <v>0</v>
      </c>
      <c r="W207" s="150">
        <f t="shared" si="189"/>
        <v>0</v>
      </c>
      <c r="X207" s="150">
        <f t="shared" si="145"/>
        <v>0</v>
      </c>
      <c r="Y207" s="150">
        <f t="shared" si="146"/>
        <v>0</v>
      </c>
      <c r="Z207" s="150">
        <f t="shared" si="147"/>
        <v>0</v>
      </c>
      <c r="AA207" s="150">
        <f t="shared" si="148"/>
        <v>0</v>
      </c>
      <c r="AB207" s="150">
        <f t="shared" si="190"/>
        <v>110150</v>
      </c>
      <c r="AC207" s="150">
        <f t="shared" si="149"/>
        <v>550.75</v>
      </c>
      <c r="AD207" s="150">
        <f t="shared" si="150"/>
        <v>0</v>
      </c>
      <c r="AE207" s="150">
        <f t="shared" si="151"/>
        <v>970</v>
      </c>
      <c r="AF207" s="150">
        <f t="shared" si="152"/>
        <v>109180</v>
      </c>
      <c r="AG207" s="150">
        <f t="shared" si="191"/>
        <v>0</v>
      </c>
      <c r="AH207" s="150">
        <f t="shared" si="153"/>
        <v>0</v>
      </c>
      <c r="AI207" s="150">
        <f t="shared" si="154"/>
        <v>0</v>
      </c>
      <c r="AJ207" s="150">
        <f t="shared" si="155"/>
        <v>0</v>
      </c>
      <c r="AK207" s="150">
        <f t="shared" si="156"/>
        <v>0</v>
      </c>
      <c r="AL207" s="150">
        <f t="shared" si="192"/>
        <v>0</v>
      </c>
      <c r="AM207" s="150">
        <f t="shared" si="157"/>
        <v>0</v>
      </c>
      <c r="AN207" s="150">
        <f t="shared" si="158"/>
        <v>0</v>
      </c>
      <c r="AO207" s="150">
        <f t="shared" si="159"/>
        <v>0</v>
      </c>
      <c r="AP207" s="150">
        <f t="shared" si="160"/>
        <v>0</v>
      </c>
      <c r="AQ207" s="149">
        <f t="shared" si="193"/>
        <v>970</v>
      </c>
      <c r="AR207" s="149">
        <f t="shared" si="194"/>
        <v>208321.4000000004</v>
      </c>
      <c r="AS207" s="133"/>
      <c r="AT207" s="152">
        <f t="shared" si="195"/>
        <v>155</v>
      </c>
      <c r="AU207" s="151">
        <f t="shared" si="161"/>
        <v>50374</v>
      </c>
      <c r="AV207" s="150">
        <f t="shared" si="196"/>
        <v>0</v>
      </c>
      <c r="AW207" s="150">
        <f t="shared" si="162"/>
        <v>0</v>
      </c>
      <c r="AX207" s="150">
        <f t="shared" si="163"/>
        <v>0</v>
      </c>
      <c r="AY207" s="150">
        <f t="shared" si="164"/>
        <v>0</v>
      </c>
      <c r="AZ207" s="150">
        <f t="shared" si="165"/>
        <v>0</v>
      </c>
      <c r="BA207" s="150">
        <f t="shared" si="197"/>
        <v>0</v>
      </c>
      <c r="BB207" s="150">
        <f t="shared" si="166"/>
        <v>0</v>
      </c>
      <c r="BC207" s="150">
        <f t="shared" si="167"/>
        <v>0</v>
      </c>
      <c r="BD207" s="150">
        <f t="shared" si="168"/>
        <v>0</v>
      </c>
      <c r="BE207" s="150">
        <f t="shared" si="169"/>
        <v>0</v>
      </c>
      <c r="BF207" s="150">
        <f t="shared" si="198"/>
        <v>0</v>
      </c>
      <c r="BG207" s="150">
        <f t="shared" si="170"/>
        <v>0</v>
      </c>
      <c r="BH207" s="150">
        <f t="shared" si="171"/>
        <v>0</v>
      </c>
      <c r="BI207" s="150">
        <f t="shared" si="172"/>
        <v>0</v>
      </c>
      <c r="BJ207" s="150">
        <f t="shared" si="173"/>
        <v>0</v>
      </c>
      <c r="BK207" s="150">
        <f t="shared" si="199"/>
        <v>102120</v>
      </c>
      <c r="BL207" s="150">
        <f t="shared" si="174"/>
        <v>510.6</v>
      </c>
      <c r="BM207" s="150">
        <f t="shared" si="175"/>
        <v>0</v>
      </c>
      <c r="BN207" s="150">
        <f t="shared" si="176"/>
        <v>920</v>
      </c>
      <c r="BO207" s="150">
        <f t="shared" si="177"/>
        <v>101200</v>
      </c>
      <c r="BP207" s="150">
        <f t="shared" si="200"/>
        <v>12000</v>
      </c>
      <c r="BQ207" s="150">
        <f t="shared" si="178"/>
        <v>50</v>
      </c>
      <c r="BR207" s="150">
        <f t="shared" si="179"/>
        <v>0</v>
      </c>
      <c r="BS207" s="150">
        <f t="shared" si="180"/>
        <v>0</v>
      </c>
      <c r="BT207" s="150">
        <f t="shared" si="181"/>
        <v>12000</v>
      </c>
      <c r="BU207" s="150">
        <f t="shared" si="201"/>
        <v>0</v>
      </c>
      <c r="BV207" s="150">
        <f t="shared" si="182"/>
        <v>0</v>
      </c>
      <c r="BW207" s="150">
        <f t="shared" si="183"/>
        <v>0</v>
      </c>
      <c r="BX207" s="150">
        <f t="shared" si="184"/>
        <v>0</v>
      </c>
      <c r="BY207" s="150">
        <f t="shared" si="185"/>
        <v>0</v>
      </c>
      <c r="BZ207" s="147">
        <f t="shared" si="202"/>
        <v>920</v>
      </c>
      <c r="CA207" s="147">
        <f t="shared" si="203"/>
        <v>195289.71000000014</v>
      </c>
    </row>
    <row r="208" spans="11:79">
      <c r="K208" s="132">
        <f t="shared" si="186"/>
        <v>156</v>
      </c>
      <c r="L208" s="148">
        <f t="shared" si="136"/>
        <v>50405</v>
      </c>
      <c r="M208" s="131">
        <f t="shared" si="187"/>
        <v>0</v>
      </c>
      <c r="N208" s="131">
        <f t="shared" si="137"/>
        <v>0</v>
      </c>
      <c r="O208" s="131">
        <f t="shared" si="138"/>
        <v>0</v>
      </c>
      <c r="P208" s="131">
        <f t="shared" si="139"/>
        <v>0</v>
      </c>
      <c r="Q208" s="131">
        <f t="shared" si="140"/>
        <v>0</v>
      </c>
      <c r="R208" s="131">
        <f t="shared" si="188"/>
        <v>0</v>
      </c>
      <c r="S208" s="131">
        <f t="shared" si="141"/>
        <v>0</v>
      </c>
      <c r="T208" s="131">
        <f t="shared" si="142"/>
        <v>0</v>
      </c>
      <c r="U208" s="131">
        <f t="shared" si="143"/>
        <v>0</v>
      </c>
      <c r="V208" s="131">
        <f t="shared" si="144"/>
        <v>0</v>
      </c>
      <c r="W208" s="131">
        <f t="shared" si="189"/>
        <v>0</v>
      </c>
      <c r="X208" s="131">
        <f t="shared" si="145"/>
        <v>0</v>
      </c>
      <c r="Y208" s="131">
        <f t="shared" si="146"/>
        <v>0</v>
      </c>
      <c r="Z208" s="131">
        <f t="shared" si="147"/>
        <v>0</v>
      </c>
      <c r="AA208" s="131">
        <f t="shared" si="148"/>
        <v>0</v>
      </c>
      <c r="AB208" s="131">
        <f t="shared" si="190"/>
        <v>109180</v>
      </c>
      <c r="AC208" s="131">
        <f t="shared" si="149"/>
        <v>545.9</v>
      </c>
      <c r="AD208" s="131">
        <f t="shared" si="150"/>
        <v>0</v>
      </c>
      <c r="AE208" s="131">
        <f t="shared" si="151"/>
        <v>970</v>
      </c>
      <c r="AF208" s="131">
        <f t="shared" si="152"/>
        <v>108210</v>
      </c>
      <c r="AG208" s="131">
        <f t="shared" si="191"/>
        <v>0</v>
      </c>
      <c r="AH208" s="131">
        <f t="shared" si="153"/>
        <v>0</v>
      </c>
      <c r="AI208" s="131">
        <f t="shared" si="154"/>
        <v>0</v>
      </c>
      <c r="AJ208" s="131">
        <f t="shared" si="155"/>
        <v>0</v>
      </c>
      <c r="AK208" s="131">
        <f t="shared" si="156"/>
        <v>0</v>
      </c>
      <c r="AL208" s="131">
        <f t="shared" si="192"/>
        <v>0</v>
      </c>
      <c r="AM208" s="131">
        <f t="shared" si="157"/>
        <v>0</v>
      </c>
      <c r="AN208" s="131">
        <f t="shared" si="158"/>
        <v>0</v>
      </c>
      <c r="AO208" s="131">
        <f t="shared" si="159"/>
        <v>0</v>
      </c>
      <c r="AP208" s="131">
        <f t="shared" si="160"/>
        <v>0</v>
      </c>
      <c r="AQ208" s="149">
        <f t="shared" si="193"/>
        <v>970</v>
      </c>
      <c r="AR208" s="149">
        <f t="shared" si="194"/>
        <v>208867.3000000004</v>
      </c>
      <c r="AS208" s="133"/>
      <c r="AT208" s="132">
        <f t="shared" si="195"/>
        <v>156</v>
      </c>
      <c r="AU208" s="148">
        <f t="shared" si="161"/>
        <v>50405</v>
      </c>
      <c r="AV208" s="131">
        <f t="shared" si="196"/>
        <v>0</v>
      </c>
      <c r="AW208" s="131">
        <f t="shared" si="162"/>
        <v>0</v>
      </c>
      <c r="AX208" s="131">
        <f t="shared" si="163"/>
        <v>0</v>
      </c>
      <c r="AY208" s="131">
        <f t="shared" si="164"/>
        <v>0</v>
      </c>
      <c r="AZ208" s="131">
        <f t="shared" si="165"/>
        <v>0</v>
      </c>
      <c r="BA208" s="131">
        <f t="shared" si="197"/>
        <v>0</v>
      </c>
      <c r="BB208" s="131">
        <f t="shared" si="166"/>
        <v>0</v>
      </c>
      <c r="BC208" s="131">
        <f t="shared" si="167"/>
        <v>0</v>
      </c>
      <c r="BD208" s="131">
        <f t="shared" si="168"/>
        <v>0</v>
      </c>
      <c r="BE208" s="131">
        <f t="shared" si="169"/>
        <v>0</v>
      </c>
      <c r="BF208" s="131">
        <f t="shared" si="198"/>
        <v>0</v>
      </c>
      <c r="BG208" s="131">
        <f t="shared" si="170"/>
        <v>0</v>
      </c>
      <c r="BH208" s="131">
        <f t="shared" si="171"/>
        <v>0</v>
      </c>
      <c r="BI208" s="131">
        <f t="shared" si="172"/>
        <v>0</v>
      </c>
      <c r="BJ208" s="131">
        <f t="shared" si="173"/>
        <v>0</v>
      </c>
      <c r="BK208" s="131">
        <f t="shared" si="199"/>
        <v>101200</v>
      </c>
      <c r="BL208" s="131">
        <f t="shared" si="174"/>
        <v>506</v>
      </c>
      <c r="BM208" s="131">
        <f t="shared" si="175"/>
        <v>0</v>
      </c>
      <c r="BN208" s="131">
        <f t="shared" si="176"/>
        <v>920</v>
      </c>
      <c r="BO208" s="131">
        <f t="shared" si="177"/>
        <v>100280</v>
      </c>
      <c r="BP208" s="131">
        <f t="shared" si="200"/>
        <v>12000</v>
      </c>
      <c r="BQ208" s="131">
        <f t="shared" si="178"/>
        <v>50</v>
      </c>
      <c r="BR208" s="131">
        <f t="shared" si="179"/>
        <v>0</v>
      </c>
      <c r="BS208" s="131">
        <f t="shared" si="180"/>
        <v>0</v>
      </c>
      <c r="BT208" s="131">
        <f t="shared" si="181"/>
        <v>12000</v>
      </c>
      <c r="BU208" s="131">
        <f t="shared" si="201"/>
        <v>0</v>
      </c>
      <c r="BV208" s="131">
        <f t="shared" si="182"/>
        <v>0</v>
      </c>
      <c r="BW208" s="131">
        <f t="shared" si="183"/>
        <v>0</v>
      </c>
      <c r="BX208" s="131">
        <f t="shared" si="184"/>
        <v>0</v>
      </c>
      <c r="BY208" s="131">
        <f t="shared" si="185"/>
        <v>0</v>
      </c>
      <c r="BZ208" s="147">
        <f t="shared" si="202"/>
        <v>920</v>
      </c>
      <c r="CA208" s="147">
        <f t="shared" si="203"/>
        <v>195845.71000000014</v>
      </c>
    </row>
    <row r="209" spans="11:79">
      <c r="K209" s="152">
        <f t="shared" si="186"/>
        <v>157</v>
      </c>
      <c r="L209" s="151">
        <f t="shared" si="136"/>
        <v>50436</v>
      </c>
      <c r="M209" s="150">
        <f t="shared" si="187"/>
        <v>0</v>
      </c>
      <c r="N209" s="150">
        <f t="shared" si="137"/>
        <v>0</v>
      </c>
      <c r="O209" s="150">
        <f t="shared" si="138"/>
        <v>0</v>
      </c>
      <c r="P209" s="150">
        <f t="shared" si="139"/>
        <v>0</v>
      </c>
      <c r="Q209" s="150">
        <f t="shared" si="140"/>
        <v>0</v>
      </c>
      <c r="R209" s="150">
        <f t="shared" si="188"/>
        <v>0</v>
      </c>
      <c r="S209" s="150">
        <f t="shared" si="141"/>
        <v>0</v>
      </c>
      <c r="T209" s="150">
        <f t="shared" si="142"/>
        <v>0</v>
      </c>
      <c r="U209" s="150">
        <f t="shared" si="143"/>
        <v>0</v>
      </c>
      <c r="V209" s="150">
        <f t="shared" si="144"/>
        <v>0</v>
      </c>
      <c r="W209" s="150">
        <f t="shared" si="189"/>
        <v>0</v>
      </c>
      <c r="X209" s="150">
        <f t="shared" si="145"/>
        <v>0</v>
      </c>
      <c r="Y209" s="150">
        <f t="shared" si="146"/>
        <v>0</v>
      </c>
      <c r="Z209" s="150">
        <f t="shared" si="147"/>
        <v>0</v>
      </c>
      <c r="AA209" s="150">
        <f t="shared" si="148"/>
        <v>0</v>
      </c>
      <c r="AB209" s="150">
        <f t="shared" si="190"/>
        <v>108210</v>
      </c>
      <c r="AC209" s="150">
        <f t="shared" si="149"/>
        <v>541.04999999999995</v>
      </c>
      <c r="AD209" s="150">
        <f t="shared" si="150"/>
        <v>0</v>
      </c>
      <c r="AE209" s="150">
        <f t="shared" si="151"/>
        <v>970</v>
      </c>
      <c r="AF209" s="150">
        <f t="shared" si="152"/>
        <v>107240</v>
      </c>
      <c r="AG209" s="150">
        <f t="shared" si="191"/>
        <v>0</v>
      </c>
      <c r="AH209" s="150">
        <f t="shared" si="153"/>
        <v>0</v>
      </c>
      <c r="AI209" s="150">
        <f t="shared" si="154"/>
        <v>0</v>
      </c>
      <c r="AJ209" s="150">
        <f t="shared" si="155"/>
        <v>0</v>
      </c>
      <c r="AK209" s="150">
        <f t="shared" si="156"/>
        <v>0</v>
      </c>
      <c r="AL209" s="150">
        <f t="shared" si="192"/>
        <v>0</v>
      </c>
      <c r="AM209" s="150">
        <f t="shared" si="157"/>
        <v>0</v>
      </c>
      <c r="AN209" s="150">
        <f t="shared" si="158"/>
        <v>0</v>
      </c>
      <c r="AO209" s="150">
        <f t="shared" si="159"/>
        <v>0</v>
      </c>
      <c r="AP209" s="150">
        <f t="shared" si="160"/>
        <v>0</v>
      </c>
      <c r="AQ209" s="149">
        <f t="shared" si="193"/>
        <v>970</v>
      </c>
      <c r="AR209" s="149">
        <f t="shared" si="194"/>
        <v>209408.35000000038</v>
      </c>
      <c r="AS209" s="133"/>
      <c r="AT209" s="152">
        <f t="shared" si="195"/>
        <v>157</v>
      </c>
      <c r="AU209" s="151">
        <f t="shared" si="161"/>
        <v>50436</v>
      </c>
      <c r="AV209" s="150">
        <f t="shared" si="196"/>
        <v>0</v>
      </c>
      <c r="AW209" s="150">
        <f t="shared" si="162"/>
        <v>0</v>
      </c>
      <c r="AX209" s="150">
        <f t="shared" si="163"/>
        <v>0</v>
      </c>
      <c r="AY209" s="150">
        <f t="shared" si="164"/>
        <v>0</v>
      </c>
      <c r="AZ209" s="150">
        <f t="shared" si="165"/>
        <v>0</v>
      </c>
      <c r="BA209" s="150">
        <f t="shared" si="197"/>
        <v>0</v>
      </c>
      <c r="BB209" s="150">
        <f t="shared" si="166"/>
        <v>0</v>
      </c>
      <c r="BC209" s="150">
        <f t="shared" si="167"/>
        <v>0</v>
      </c>
      <c r="BD209" s="150">
        <f t="shared" si="168"/>
        <v>0</v>
      </c>
      <c r="BE209" s="150">
        <f t="shared" si="169"/>
        <v>0</v>
      </c>
      <c r="BF209" s="150">
        <f t="shared" si="198"/>
        <v>0</v>
      </c>
      <c r="BG209" s="150">
        <f t="shared" si="170"/>
        <v>0</v>
      </c>
      <c r="BH209" s="150">
        <f t="shared" si="171"/>
        <v>0</v>
      </c>
      <c r="BI209" s="150">
        <f t="shared" si="172"/>
        <v>0</v>
      </c>
      <c r="BJ209" s="150">
        <f t="shared" si="173"/>
        <v>0</v>
      </c>
      <c r="BK209" s="150">
        <f t="shared" si="199"/>
        <v>100280</v>
      </c>
      <c r="BL209" s="150">
        <f t="shared" si="174"/>
        <v>501.4</v>
      </c>
      <c r="BM209" s="150">
        <f t="shared" si="175"/>
        <v>0</v>
      </c>
      <c r="BN209" s="150">
        <f t="shared" si="176"/>
        <v>920</v>
      </c>
      <c r="BO209" s="150">
        <f t="shared" si="177"/>
        <v>99360</v>
      </c>
      <c r="BP209" s="150">
        <f t="shared" si="200"/>
        <v>12000</v>
      </c>
      <c r="BQ209" s="150">
        <f t="shared" si="178"/>
        <v>50</v>
      </c>
      <c r="BR209" s="150">
        <f t="shared" si="179"/>
        <v>0</v>
      </c>
      <c r="BS209" s="150">
        <f t="shared" si="180"/>
        <v>0</v>
      </c>
      <c r="BT209" s="150">
        <f t="shared" si="181"/>
        <v>12000</v>
      </c>
      <c r="BU209" s="150">
        <f t="shared" si="201"/>
        <v>0</v>
      </c>
      <c r="BV209" s="150">
        <f t="shared" si="182"/>
        <v>0</v>
      </c>
      <c r="BW209" s="150">
        <f t="shared" si="183"/>
        <v>0</v>
      </c>
      <c r="BX209" s="150">
        <f t="shared" si="184"/>
        <v>0</v>
      </c>
      <c r="BY209" s="150">
        <f t="shared" si="185"/>
        <v>0</v>
      </c>
      <c r="BZ209" s="147">
        <f t="shared" si="202"/>
        <v>920</v>
      </c>
      <c r="CA209" s="147">
        <f t="shared" si="203"/>
        <v>196397.11000000013</v>
      </c>
    </row>
    <row r="210" spans="11:79">
      <c r="K210" s="132">
        <f t="shared" si="186"/>
        <v>158</v>
      </c>
      <c r="L210" s="148">
        <f t="shared" si="136"/>
        <v>50464</v>
      </c>
      <c r="M210" s="131">
        <f t="shared" si="187"/>
        <v>0</v>
      </c>
      <c r="N210" s="131">
        <f t="shared" si="137"/>
        <v>0</v>
      </c>
      <c r="O210" s="131">
        <f t="shared" si="138"/>
        <v>0</v>
      </c>
      <c r="P210" s="131">
        <f t="shared" si="139"/>
        <v>0</v>
      </c>
      <c r="Q210" s="131">
        <f t="shared" si="140"/>
        <v>0</v>
      </c>
      <c r="R210" s="131">
        <f t="shared" si="188"/>
        <v>0</v>
      </c>
      <c r="S210" s="131">
        <f t="shared" si="141"/>
        <v>0</v>
      </c>
      <c r="T210" s="131">
        <f t="shared" si="142"/>
        <v>0</v>
      </c>
      <c r="U210" s="131">
        <f t="shared" si="143"/>
        <v>0</v>
      </c>
      <c r="V210" s="131">
        <f t="shared" si="144"/>
        <v>0</v>
      </c>
      <c r="W210" s="131">
        <f t="shared" si="189"/>
        <v>0</v>
      </c>
      <c r="X210" s="131">
        <f t="shared" si="145"/>
        <v>0</v>
      </c>
      <c r="Y210" s="131">
        <f t="shared" si="146"/>
        <v>0</v>
      </c>
      <c r="Z210" s="131">
        <f t="shared" si="147"/>
        <v>0</v>
      </c>
      <c r="AA210" s="131">
        <f t="shared" si="148"/>
        <v>0</v>
      </c>
      <c r="AB210" s="131">
        <f t="shared" si="190"/>
        <v>107240</v>
      </c>
      <c r="AC210" s="131">
        <f t="shared" si="149"/>
        <v>536.20000000000005</v>
      </c>
      <c r="AD210" s="131">
        <f t="shared" si="150"/>
        <v>0</v>
      </c>
      <c r="AE210" s="131">
        <f t="shared" si="151"/>
        <v>970</v>
      </c>
      <c r="AF210" s="131">
        <f t="shared" si="152"/>
        <v>106270</v>
      </c>
      <c r="AG210" s="131">
        <f t="shared" si="191"/>
        <v>0</v>
      </c>
      <c r="AH210" s="131">
        <f t="shared" si="153"/>
        <v>0</v>
      </c>
      <c r="AI210" s="131">
        <f t="shared" si="154"/>
        <v>0</v>
      </c>
      <c r="AJ210" s="131">
        <f t="shared" si="155"/>
        <v>0</v>
      </c>
      <c r="AK210" s="131">
        <f t="shared" si="156"/>
        <v>0</v>
      </c>
      <c r="AL210" s="131">
        <f t="shared" si="192"/>
        <v>0</v>
      </c>
      <c r="AM210" s="131">
        <f t="shared" si="157"/>
        <v>0</v>
      </c>
      <c r="AN210" s="131">
        <f t="shared" si="158"/>
        <v>0</v>
      </c>
      <c r="AO210" s="131">
        <f t="shared" si="159"/>
        <v>0</v>
      </c>
      <c r="AP210" s="131">
        <f t="shared" si="160"/>
        <v>0</v>
      </c>
      <c r="AQ210" s="149">
        <f t="shared" si="193"/>
        <v>970</v>
      </c>
      <c r="AR210" s="149">
        <f t="shared" si="194"/>
        <v>209944.5500000004</v>
      </c>
      <c r="AS210" s="133"/>
      <c r="AT210" s="132">
        <f t="shared" si="195"/>
        <v>158</v>
      </c>
      <c r="AU210" s="148">
        <f t="shared" si="161"/>
        <v>50464</v>
      </c>
      <c r="AV210" s="131">
        <f t="shared" si="196"/>
        <v>0</v>
      </c>
      <c r="AW210" s="131">
        <f t="shared" si="162"/>
        <v>0</v>
      </c>
      <c r="AX210" s="131">
        <f t="shared" si="163"/>
        <v>0</v>
      </c>
      <c r="AY210" s="131">
        <f t="shared" si="164"/>
        <v>0</v>
      </c>
      <c r="AZ210" s="131">
        <f t="shared" si="165"/>
        <v>0</v>
      </c>
      <c r="BA210" s="131">
        <f t="shared" si="197"/>
        <v>0</v>
      </c>
      <c r="BB210" s="131">
        <f t="shared" si="166"/>
        <v>0</v>
      </c>
      <c r="BC210" s="131">
        <f t="shared" si="167"/>
        <v>0</v>
      </c>
      <c r="BD210" s="131">
        <f t="shared" si="168"/>
        <v>0</v>
      </c>
      <c r="BE210" s="131">
        <f t="shared" si="169"/>
        <v>0</v>
      </c>
      <c r="BF210" s="131">
        <f t="shared" si="198"/>
        <v>0</v>
      </c>
      <c r="BG210" s="131">
        <f t="shared" si="170"/>
        <v>0</v>
      </c>
      <c r="BH210" s="131">
        <f t="shared" si="171"/>
        <v>0</v>
      </c>
      <c r="BI210" s="131">
        <f t="shared" si="172"/>
        <v>0</v>
      </c>
      <c r="BJ210" s="131">
        <f t="shared" si="173"/>
        <v>0</v>
      </c>
      <c r="BK210" s="131">
        <f t="shared" si="199"/>
        <v>99360</v>
      </c>
      <c r="BL210" s="131">
        <f t="shared" si="174"/>
        <v>496.8</v>
      </c>
      <c r="BM210" s="131">
        <f t="shared" si="175"/>
        <v>0</v>
      </c>
      <c r="BN210" s="131">
        <f t="shared" si="176"/>
        <v>920</v>
      </c>
      <c r="BO210" s="131">
        <f t="shared" si="177"/>
        <v>98440</v>
      </c>
      <c r="BP210" s="131">
        <f t="shared" si="200"/>
        <v>12000</v>
      </c>
      <c r="BQ210" s="131">
        <f t="shared" si="178"/>
        <v>50</v>
      </c>
      <c r="BR210" s="131">
        <f t="shared" si="179"/>
        <v>0</v>
      </c>
      <c r="BS210" s="131">
        <f t="shared" si="180"/>
        <v>0</v>
      </c>
      <c r="BT210" s="131">
        <f t="shared" si="181"/>
        <v>12000</v>
      </c>
      <c r="BU210" s="131">
        <f t="shared" si="201"/>
        <v>0</v>
      </c>
      <c r="BV210" s="131">
        <f t="shared" si="182"/>
        <v>0</v>
      </c>
      <c r="BW210" s="131">
        <f t="shared" si="183"/>
        <v>0</v>
      </c>
      <c r="BX210" s="131">
        <f t="shared" si="184"/>
        <v>0</v>
      </c>
      <c r="BY210" s="131">
        <f t="shared" si="185"/>
        <v>0</v>
      </c>
      <c r="BZ210" s="147">
        <f t="shared" si="202"/>
        <v>920</v>
      </c>
      <c r="CA210" s="147">
        <f t="shared" si="203"/>
        <v>196943.91000000012</v>
      </c>
    </row>
    <row r="211" spans="11:79">
      <c r="K211" s="152">
        <f t="shared" si="186"/>
        <v>159</v>
      </c>
      <c r="L211" s="151">
        <f t="shared" si="136"/>
        <v>50495</v>
      </c>
      <c r="M211" s="150">
        <f t="shared" si="187"/>
        <v>0</v>
      </c>
      <c r="N211" s="150">
        <f t="shared" si="137"/>
        <v>0</v>
      </c>
      <c r="O211" s="150">
        <f t="shared" si="138"/>
        <v>0</v>
      </c>
      <c r="P211" s="150">
        <f t="shared" si="139"/>
        <v>0</v>
      </c>
      <c r="Q211" s="150">
        <f t="shared" si="140"/>
        <v>0</v>
      </c>
      <c r="R211" s="150">
        <f t="shared" si="188"/>
        <v>0</v>
      </c>
      <c r="S211" s="150">
        <f t="shared" si="141"/>
        <v>0</v>
      </c>
      <c r="T211" s="150">
        <f t="shared" si="142"/>
        <v>0</v>
      </c>
      <c r="U211" s="150">
        <f t="shared" si="143"/>
        <v>0</v>
      </c>
      <c r="V211" s="150">
        <f t="shared" si="144"/>
        <v>0</v>
      </c>
      <c r="W211" s="150">
        <f t="shared" si="189"/>
        <v>0</v>
      </c>
      <c r="X211" s="150">
        <f t="shared" si="145"/>
        <v>0</v>
      </c>
      <c r="Y211" s="150">
        <f t="shared" si="146"/>
        <v>0</v>
      </c>
      <c r="Z211" s="150">
        <f t="shared" si="147"/>
        <v>0</v>
      </c>
      <c r="AA211" s="150">
        <f t="shared" si="148"/>
        <v>0</v>
      </c>
      <c r="AB211" s="150">
        <f t="shared" si="190"/>
        <v>106270</v>
      </c>
      <c r="AC211" s="150">
        <f t="shared" si="149"/>
        <v>531.35</v>
      </c>
      <c r="AD211" s="150">
        <f t="shared" si="150"/>
        <v>0</v>
      </c>
      <c r="AE211" s="150">
        <f t="shared" si="151"/>
        <v>970</v>
      </c>
      <c r="AF211" s="150">
        <f t="shared" si="152"/>
        <v>105300</v>
      </c>
      <c r="AG211" s="150">
        <f t="shared" si="191"/>
        <v>0</v>
      </c>
      <c r="AH211" s="150">
        <f t="shared" si="153"/>
        <v>0</v>
      </c>
      <c r="AI211" s="150">
        <f t="shared" si="154"/>
        <v>0</v>
      </c>
      <c r="AJ211" s="150">
        <f t="shared" si="155"/>
        <v>0</v>
      </c>
      <c r="AK211" s="150">
        <f t="shared" si="156"/>
        <v>0</v>
      </c>
      <c r="AL211" s="150">
        <f t="shared" si="192"/>
        <v>0</v>
      </c>
      <c r="AM211" s="150">
        <f t="shared" si="157"/>
        <v>0</v>
      </c>
      <c r="AN211" s="150">
        <f t="shared" si="158"/>
        <v>0</v>
      </c>
      <c r="AO211" s="150">
        <f t="shared" si="159"/>
        <v>0</v>
      </c>
      <c r="AP211" s="150">
        <f t="shared" si="160"/>
        <v>0</v>
      </c>
      <c r="AQ211" s="149">
        <f t="shared" si="193"/>
        <v>970</v>
      </c>
      <c r="AR211" s="149">
        <f t="shared" si="194"/>
        <v>210475.9000000004</v>
      </c>
      <c r="AS211" s="133"/>
      <c r="AT211" s="152">
        <f t="shared" si="195"/>
        <v>159</v>
      </c>
      <c r="AU211" s="151">
        <f t="shared" si="161"/>
        <v>50495</v>
      </c>
      <c r="AV211" s="150">
        <f t="shared" si="196"/>
        <v>0</v>
      </c>
      <c r="AW211" s="150">
        <f t="shared" si="162"/>
        <v>0</v>
      </c>
      <c r="AX211" s="150">
        <f t="shared" si="163"/>
        <v>0</v>
      </c>
      <c r="AY211" s="150">
        <f t="shared" si="164"/>
        <v>0</v>
      </c>
      <c r="AZ211" s="150">
        <f t="shared" si="165"/>
        <v>0</v>
      </c>
      <c r="BA211" s="150">
        <f t="shared" si="197"/>
        <v>0</v>
      </c>
      <c r="BB211" s="150">
        <f t="shared" si="166"/>
        <v>0</v>
      </c>
      <c r="BC211" s="150">
        <f t="shared" si="167"/>
        <v>0</v>
      </c>
      <c r="BD211" s="150">
        <f t="shared" si="168"/>
        <v>0</v>
      </c>
      <c r="BE211" s="150">
        <f t="shared" si="169"/>
        <v>0</v>
      </c>
      <c r="BF211" s="150">
        <f t="shared" si="198"/>
        <v>0</v>
      </c>
      <c r="BG211" s="150">
        <f t="shared" si="170"/>
        <v>0</v>
      </c>
      <c r="BH211" s="150">
        <f t="shared" si="171"/>
        <v>0</v>
      </c>
      <c r="BI211" s="150">
        <f t="shared" si="172"/>
        <v>0</v>
      </c>
      <c r="BJ211" s="150">
        <f t="shared" si="173"/>
        <v>0</v>
      </c>
      <c r="BK211" s="150">
        <f t="shared" si="199"/>
        <v>98440</v>
      </c>
      <c r="BL211" s="150">
        <f t="shared" si="174"/>
        <v>492.2</v>
      </c>
      <c r="BM211" s="150">
        <f t="shared" si="175"/>
        <v>0</v>
      </c>
      <c r="BN211" s="150">
        <f t="shared" si="176"/>
        <v>920</v>
      </c>
      <c r="BO211" s="150">
        <f t="shared" si="177"/>
        <v>97520</v>
      </c>
      <c r="BP211" s="150">
        <f t="shared" si="200"/>
        <v>12000</v>
      </c>
      <c r="BQ211" s="150">
        <f t="shared" si="178"/>
        <v>50</v>
      </c>
      <c r="BR211" s="150">
        <f t="shared" si="179"/>
        <v>0</v>
      </c>
      <c r="BS211" s="150">
        <f t="shared" si="180"/>
        <v>0</v>
      </c>
      <c r="BT211" s="150">
        <f t="shared" si="181"/>
        <v>12000</v>
      </c>
      <c r="BU211" s="150">
        <f t="shared" si="201"/>
        <v>0</v>
      </c>
      <c r="BV211" s="150">
        <f t="shared" si="182"/>
        <v>0</v>
      </c>
      <c r="BW211" s="150">
        <f t="shared" si="183"/>
        <v>0</v>
      </c>
      <c r="BX211" s="150">
        <f t="shared" si="184"/>
        <v>0</v>
      </c>
      <c r="BY211" s="150">
        <f t="shared" si="185"/>
        <v>0</v>
      </c>
      <c r="BZ211" s="147">
        <f t="shared" si="202"/>
        <v>920</v>
      </c>
      <c r="CA211" s="147">
        <f t="shared" si="203"/>
        <v>197486.11000000013</v>
      </c>
    </row>
    <row r="212" spans="11:79">
      <c r="K212" s="132">
        <f t="shared" si="186"/>
        <v>160</v>
      </c>
      <c r="L212" s="148">
        <f t="shared" si="136"/>
        <v>50525</v>
      </c>
      <c r="M212" s="131">
        <f t="shared" si="187"/>
        <v>0</v>
      </c>
      <c r="N212" s="131">
        <f t="shared" si="137"/>
        <v>0</v>
      </c>
      <c r="O212" s="131">
        <f t="shared" si="138"/>
        <v>0</v>
      </c>
      <c r="P212" s="131">
        <f t="shared" si="139"/>
        <v>0</v>
      </c>
      <c r="Q212" s="131">
        <f t="shared" si="140"/>
        <v>0</v>
      </c>
      <c r="R212" s="131">
        <f t="shared" si="188"/>
        <v>0</v>
      </c>
      <c r="S212" s="131">
        <f t="shared" si="141"/>
        <v>0</v>
      </c>
      <c r="T212" s="131">
        <f t="shared" si="142"/>
        <v>0</v>
      </c>
      <c r="U212" s="131">
        <f t="shared" si="143"/>
        <v>0</v>
      </c>
      <c r="V212" s="131">
        <f t="shared" si="144"/>
        <v>0</v>
      </c>
      <c r="W212" s="131">
        <f t="shared" si="189"/>
        <v>0</v>
      </c>
      <c r="X212" s="131">
        <f t="shared" si="145"/>
        <v>0</v>
      </c>
      <c r="Y212" s="131">
        <f t="shared" si="146"/>
        <v>0</v>
      </c>
      <c r="Z212" s="131">
        <f t="shared" si="147"/>
        <v>0</v>
      </c>
      <c r="AA212" s="131">
        <f t="shared" si="148"/>
        <v>0</v>
      </c>
      <c r="AB212" s="131">
        <f t="shared" si="190"/>
        <v>105300</v>
      </c>
      <c r="AC212" s="131">
        <f t="shared" si="149"/>
        <v>526.5</v>
      </c>
      <c r="AD212" s="131">
        <f t="shared" si="150"/>
        <v>0</v>
      </c>
      <c r="AE212" s="131">
        <f t="shared" si="151"/>
        <v>970</v>
      </c>
      <c r="AF212" s="131">
        <f t="shared" si="152"/>
        <v>104330</v>
      </c>
      <c r="AG212" s="131">
        <f t="shared" si="191"/>
        <v>0</v>
      </c>
      <c r="AH212" s="131">
        <f t="shared" si="153"/>
        <v>0</v>
      </c>
      <c r="AI212" s="131">
        <f t="shared" si="154"/>
        <v>0</v>
      </c>
      <c r="AJ212" s="131">
        <f t="shared" si="155"/>
        <v>0</v>
      </c>
      <c r="AK212" s="131">
        <f t="shared" si="156"/>
        <v>0</v>
      </c>
      <c r="AL212" s="131">
        <f t="shared" si="192"/>
        <v>0</v>
      </c>
      <c r="AM212" s="131">
        <f t="shared" si="157"/>
        <v>0</v>
      </c>
      <c r="AN212" s="131">
        <f t="shared" si="158"/>
        <v>0</v>
      </c>
      <c r="AO212" s="131">
        <f t="shared" si="159"/>
        <v>0</v>
      </c>
      <c r="AP212" s="131">
        <f t="shared" si="160"/>
        <v>0</v>
      </c>
      <c r="AQ212" s="149">
        <f t="shared" si="193"/>
        <v>970</v>
      </c>
      <c r="AR212" s="149">
        <f t="shared" si="194"/>
        <v>211002.4000000004</v>
      </c>
      <c r="AS212" s="133"/>
      <c r="AT212" s="132">
        <f t="shared" si="195"/>
        <v>160</v>
      </c>
      <c r="AU212" s="148">
        <f t="shared" si="161"/>
        <v>50525</v>
      </c>
      <c r="AV212" s="131">
        <f t="shared" si="196"/>
        <v>0</v>
      </c>
      <c r="AW212" s="131">
        <f t="shared" si="162"/>
        <v>0</v>
      </c>
      <c r="AX212" s="131">
        <f t="shared" si="163"/>
        <v>0</v>
      </c>
      <c r="AY212" s="131">
        <f t="shared" si="164"/>
        <v>0</v>
      </c>
      <c r="AZ212" s="131">
        <f t="shared" si="165"/>
        <v>0</v>
      </c>
      <c r="BA212" s="131">
        <f t="shared" si="197"/>
        <v>0</v>
      </c>
      <c r="BB212" s="131">
        <f t="shared" si="166"/>
        <v>0</v>
      </c>
      <c r="BC212" s="131">
        <f t="shared" si="167"/>
        <v>0</v>
      </c>
      <c r="BD212" s="131">
        <f t="shared" si="168"/>
        <v>0</v>
      </c>
      <c r="BE212" s="131">
        <f t="shared" si="169"/>
        <v>0</v>
      </c>
      <c r="BF212" s="131">
        <f t="shared" si="198"/>
        <v>0</v>
      </c>
      <c r="BG212" s="131">
        <f t="shared" si="170"/>
        <v>0</v>
      </c>
      <c r="BH212" s="131">
        <f t="shared" si="171"/>
        <v>0</v>
      </c>
      <c r="BI212" s="131">
        <f t="shared" si="172"/>
        <v>0</v>
      </c>
      <c r="BJ212" s="131">
        <f t="shared" si="173"/>
        <v>0</v>
      </c>
      <c r="BK212" s="131">
        <f t="shared" si="199"/>
        <v>97520</v>
      </c>
      <c r="BL212" s="131">
        <f t="shared" si="174"/>
        <v>487.6</v>
      </c>
      <c r="BM212" s="131">
        <f t="shared" si="175"/>
        <v>0</v>
      </c>
      <c r="BN212" s="131">
        <f t="shared" si="176"/>
        <v>920</v>
      </c>
      <c r="BO212" s="131">
        <f t="shared" si="177"/>
        <v>96600</v>
      </c>
      <c r="BP212" s="131">
        <f t="shared" si="200"/>
        <v>12000</v>
      </c>
      <c r="BQ212" s="131">
        <f t="shared" si="178"/>
        <v>50</v>
      </c>
      <c r="BR212" s="131">
        <f t="shared" si="179"/>
        <v>0</v>
      </c>
      <c r="BS212" s="131">
        <f t="shared" si="180"/>
        <v>0</v>
      </c>
      <c r="BT212" s="131">
        <f t="shared" si="181"/>
        <v>12000</v>
      </c>
      <c r="BU212" s="131">
        <f t="shared" si="201"/>
        <v>0</v>
      </c>
      <c r="BV212" s="131">
        <f t="shared" si="182"/>
        <v>0</v>
      </c>
      <c r="BW212" s="131">
        <f t="shared" si="183"/>
        <v>0</v>
      </c>
      <c r="BX212" s="131">
        <f t="shared" si="184"/>
        <v>0</v>
      </c>
      <c r="BY212" s="131">
        <f t="shared" si="185"/>
        <v>0</v>
      </c>
      <c r="BZ212" s="147">
        <f t="shared" si="202"/>
        <v>920</v>
      </c>
      <c r="CA212" s="147">
        <f t="shared" si="203"/>
        <v>198023.71000000014</v>
      </c>
    </row>
    <row r="213" spans="11:79">
      <c r="K213" s="152">
        <f t="shared" si="186"/>
        <v>161</v>
      </c>
      <c r="L213" s="151">
        <f t="shared" si="136"/>
        <v>50556</v>
      </c>
      <c r="M213" s="150">
        <f t="shared" si="187"/>
        <v>0</v>
      </c>
      <c r="N213" s="150">
        <f t="shared" si="137"/>
        <v>0</v>
      </c>
      <c r="O213" s="150">
        <f t="shared" si="138"/>
        <v>0</v>
      </c>
      <c r="P213" s="150">
        <f t="shared" si="139"/>
        <v>0</v>
      </c>
      <c r="Q213" s="150">
        <f t="shared" si="140"/>
        <v>0</v>
      </c>
      <c r="R213" s="150">
        <f t="shared" si="188"/>
        <v>0</v>
      </c>
      <c r="S213" s="150">
        <f t="shared" si="141"/>
        <v>0</v>
      </c>
      <c r="T213" s="150">
        <f t="shared" si="142"/>
        <v>0</v>
      </c>
      <c r="U213" s="150">
        <f t="shared" si="143"/>
        <v>0</v>
      </c>
      <c r="V213" s="150">
        <f t="shared" si="144"/>
        <v>0</v>
      </c>
      <c r="W213" s="150">
        <f t="shared" si="189"/>
        <v>0</v>
      </c>
      <c r="X213" s="150">
        <f t="shared" si="145"/>
        <v>0</v>
      </c>
      <c r="Y213" s="150">
        <f t="shared" si="146"/>
        <v>0</v>
      </c>
      <c r="Z213" s="150">
        <f t="shared" si="147"/>
        <v>0</v>
      </c>
      <c r="AA213" s="150">
        <f t="shared" si="148"/>
        <v>0</v>
      </c>
      <c r="AB213" s="150">
        <f t="shared" si="190"/>
        <v>104330</v>
      </c>
      <c r="AC213" s="150">
        <f t="shared" si="149"/>
        <v>521.65</v>
      </c>
      <c r="AD213" s="150">
        <f t="shared" si="150"/>
        <v>0</v>
      </c>
      <c r="AE213" s="150">
        <f t="shared" si="151"/>
        <v>970</v>
      </c>
      <c r="AF213" s="150">
        <f t="shared" si="152"/>
        <v>103360</v>
      </c>
      <c r="AG213" s="150">
        <f t="shared" si="191"/>
        <v>0</v>
      </c>
      <c r="AH213" s="150">
        <f t="shared" si="153"/>
        <v>0</v>
      </c>
      <c r="AI213" s="150">
        <f t="shared" si="154"/>
        <v>0</v>
      </c>
      <c r="AJ213" s="150">
        <f t="shared" si="155"/>
        <v>0</v>
      </c>
      <c r="AK213" s="150">
        <f t="shared" si="156"/>
        <v>0</v>
      </c>
      <c r="AL213" s="150">
        <f t="shared" si="192"/>
        <v>0</v>
      </c>
      <c r="AM213" s="150">
        <f t="shared" si="157"/>
        <v>0</v>
      </c>
      <c r="AN213" s="150">
        <f t="shared" si="158"/>
        <v>0</v>
      </c>
      <c r="AO213" s="150">
        <f t="shared" si="159"/>
        <v>0</v>
      </c>
      <c r="AP213" s="150">
        <f t="shared" si="160"/>
        <v>0</v>
      </c>
      <c r="AQ213" s="149">
        <f t="shared" si="193"/>
        <v>970</v>
      </c>
      <c r="AR213" s="149">
        <f t="shared" si="194"/>
        <v>211524.0500000004</v>
      </c>
      <c r="AS213" s="133"/>
      <c r="AT213" s="152">
        <f t="shared" si="195"/>
        <v>161</v>
      </c>
      <c r="AU213" s="151">
        <f t="shared" si="161"/>
        <v>50556</v>
      </c>
      <c r="AV213" s="150">
        <f t="shared" si="196"/>
        <v>0</v>
      </c>
      <c r="AW213" s="150">
        <f t="shared" si="162"/>
        <v>0</v>
      </c>
      <c r="AX213" s="150">
        <f t="shared" si="163"/>
        <v>0</v>
      </c>
      <c r="AY213" s="150">
        <f t="shared" si="164"/>
        <v>0</v>
      </c>
      <c r="AZ213" s="150">
        <f t="shared" si="165"/>
        <v>0</v>
      </c>
      <c r="BA213" s="150">
        <f t="shared" si="197"/>
        <v>0</v>
      </c>
      <c r="BB213" s="150">
        <f t="shared" si="166"/>
        <v>0</v>
      </c>
      <c r="BC213" s="150">
        <f t="shared" si="167"/>
        <v>0</v>
      </c>
      <c r="BD213" s="150">
        <f t="shared" si="168"/>
        <v>0</v>
      </c>
      <c r="BE213" s="150">
        <f t="shared" si="169"/>
        <v>0</v>
      </c>
      <c r="BF213" s="150">
        <f t="shared" si="198"/>
        <v>0</v>
      </c>
      <c r="BG213" s="150">
        <f t="shared" si="170"/>
        <v>0</v>
      </c>
      <c r="BH213" s="150">
        <f t="shared" si="171"/>
        <v>0</v>
      </c>
      <c r="BI213" s="150">
        <f t="shared" si="172"/>
        <v>0</v>
      </c>
      <c r="BJ213" s="150">
        <f t="shared" si="173"/>
        <v>0</v>
      </c>
      <c r="BK213" s="150">
        <f t="shared" si="199"/>
        <v>96600</v>
      </c>
      <c r="BL213" s="150">
        <f t="shared" si="174"/>
        <v>483</v>
      </c>
      <c r="BM213" s="150">
        <f t="shared" si="175"/>
        <v>0</v>
      </c>
      <c r="BN213" s="150">
        <f t="shared" si="176"/>
        <v>920</v>
      </c>
      <c r="BO213" s="150">
        <f t="shared" si="177"/>
        <v>95680</v>
      </c>
      <c r="BP213" s="150">
        <f t="shared" si="200"/>
        <v>12000</v>
      </c>
      <c r="BQ213" s="150">
        <f t="shared" si="178"/>
        <v>50</v>
      </c>
      <c r="BR213" s="150">
        <f t="shared" si="179"/>
        <v>0</v>
      </c>
      <c r="BS213" s="150">
        <f t="shared" si="180"/>
        <v>0</v>
      </c>
      <c r="BT213" s="150">
        <f t="shared" si="181"/>
        <v>12000</v>
      </c>
      <c r="BU213" s="150">
        <f t="shared" si="201"/>
        <v>0</v>
      </c>
      <c r="BV213" s="150">
        <f t="shared" si="182"/>
        <v>0</v>
      </c>
      <c r="BW213" s="150">
        <f t="shared" si="183"/>
        <v>0</v>
      </c>
      <c r="BX213" s="150">
        <f t="shared" si="184"/>
        <v>0</v>
      </c>
      <c r="BY213" s="150">
        <f t="shared" si="185"/>
        <v>0</v>
      </c>
      <c r="BZ213" s="147">
        <f t="shared" si="202"/>
        <v>920</v>
      </c>
      <c r="CA213" s="147">
        <f t="shared" si="203"/>
        <v>198556.71000000014</v>
      </c>
    </row>
    <row r="214" spans="11:79">
      <c r="K214" s="132">
        <f t="shared" si="186"/>
        <v>162</v>
      </c>
      <c r="L214" s="148">
        <f t="shared" si="136"/>
        <v>50586</v>
      </c>
      <c r="M214" s="131">
        <f t="shared" si="187"/>
        <v>0</v>
      </c>
      <c r="N214" s="131">
        <f t="shared" si="137"/>
        <v>0</v>
      </c>
      <c r="O214" s="131">
        <f t="shared" si="138"/>
        <v>0</v>
      </c>
      <c r="P214" s="131">
        <f t="shared" si="139"/>
        <v>0</v>
      </c>
      <c r="Q214" s="131">
        <f t="shared" si="140"/>
        <v>0</v>
      </c>
      <c r="R214" s="131">
        <f t="shared" si="188"/>
        <v>0</v>
      </c>
      <c r="S214" s="131">
        <f t="shared" si="141"/>
        <v>0</v>
      </c>
      <c r="T214" s="131">
        <f t="shared" si="142"/>
        <v>0</v>
      </c>
      <c r="U214" s="131">
        <f t="shared" si="143"/>
        <v>0</v>
      </c>
      <c r="V214" s="131">
        <f t="shared" si="144"/>
        <v>0</v>
      </c>
      <c r="W214" s="131">
        <f t="shared" si="189"/>
        <v>0</v>
      </c>
      <c r="X214" s="131">
        <f t="shared" si="145"/>
        <v>0</v>
      </c>
      <c r="Y214" s="131">
        <f t="shared" si="146"/>
        <v>0</v>
      </c>
      <c r="Z214" s="131">
        <f t="shared" si="147"/>
        <v>0</v>
      </c>
      <c r="AA214" s="131">
        <f t="shared" si="148"/>
        <v>0</v>
      </c>
      <c r="AB214" s="131">
        <f t="shared" si="190"/>
        <v>103360</v>
      </c>
      <c r="AC214" s="131">
        <f t="shared" si="149"/>
        <v>516.79999999999995</v>
      </c>
      <c r="AD214" s="131">
        <f t="shared" si="150"/>
        <v>0</v>
      </c>
      <c r="AE214" s="131">
        <f t="shared" si="151"/>
        <v>970</v>
      </c>
      <c r="AF214" s="131">
        <f t="shared" si="152"/>
        <v>102390</v>
      </c>
      <c r="AG214" s="131">
        <f t="shared" si="191"/>
        <v>0</v>
      </c>
      <c r="AH214" s="131">
        <f t="shared" si="153"/>
        <v>0</v>
      </c>
      <c r="AI214" s="131">
        <f t="shared" si="154"/>
        <v>0</v>
      </c>
      <c r="AJ214" s="131">
        <f t="shared" si="155"/>
        <v>0</v>
      </c>
      <c r="AK214" s="131">
        <f t="shared" si="156"/>
        <v>0</v>
      </c>
      <c r="AL214" s="131">
        <f t="shared" si="192"/>
        <v>0</v>
      </c>
      <c r="AM214" s="131">
        <f t="shared" si="157"/>
        <v>0</v>
      </c>
      <c r="AN214" s="131">
        <f t="shared" si="158"/>
        <v>0</v>
      </c>
      <c r="AO214" s="131">
        <f t="shared" si="159"/>
        <v>0</v>
      </c>
      <c r="AP214" s="131">
        <f t="shared" si="160"/>
        <v>0</v>
      </c>
      <c r="AQ214" s="149">
        <f t="shared" si="193"/>
        <v>970</v>
      </c>
      <c r="AR214" s="149">
        <f t="shared" si="194"/>
        <v>212040.85000000038</v>
      </c>
      <c r="AS214" s="133"/>
      <c r="AT214" s="132">
        <f t="shared" si="195"/>
        <v>162</v>
      </c>
      <c r="AU214" s="148">
        <f t="shared" si="161"/>
        <v>50586</v>
      </c>
      <c r="AV214" s="131">
        <f t="shared" si="196"/>
        <v>0</v>
      </c>
      <c r="AW214" s="131">
        <f t="shared" si="162"/>
        <v>0</v>
      </c>
      <c r="AX214" s="131">
        <f t="shared" si="163"/>
        <v>0</v>
      </c>
      <c r="AY214" s="131">
        <f t="shared" si="164"/>
        <v>0</v>
      </c>
      <c r="AZ214" s="131">
        <f t="shared" si="165"/>
        <v>0</v>
      </c>
      <c r="BA214" s="131">
        <f t="shared" si="197"/>
        <v>0</v>
      </c>
      <c r="BB214" s="131">
        <f t="shared" si="166"/>
        <v>0</v>
      </c>
      <c r="BC214" s="131">
        <f t="shared" si="167"/>
        <v>0</v>
      </c>
      <c r="BD214" s="131">
        <f t="shared" si="168"/>
        <v>0</v>
      </c>
      <c r="BE214" s="131">
        <f t="shared" si="169"/>
        <v>0</v>
      </c>
      <c r="BF214" s="131">
        <f t="shared" si="198"/>
        <v>0</v>
      </c>
      <c r="BG214" s="131">
        <f t="shared" si="170"/>
        <v>0</v>
      </c>
      <c r="BH214" s="131">
        <f t="shared" si="171"/>
        <v>0</v>
      </c>
      <c r="BI214" s="131">
        <f t="shared" si="172"/>
        <v>0</v>
      </c>
      <c r="BJ214" s="131">
        <f t="shared" si="173"/>
        <v>0</v>
      </c>
      <c r="BK214" s="131">
        <f t="shared" si="199"/>
        <v>95680</v>
      </c>
      <c r="BL214" s="131">
        <f t="shared" si="174"/>
        <v>478.4</v>
      </c>
      <c r="BM214" s="131">
        <f t="shared" si="175"/>
        <v>0</v>
      </c>
      <c r="BN214" s="131">
        <f t="shared" si="176"/>
        <v>920</v>
      </c>
      <c r="BO214" s="131">
        <f t="shared" si="177"/>
        <v>94760</v>
      </c>
      <c r="BP214" s="131">
        <f t="shared" si="200"/>
        <v>12000</v>
      </c>
      <c r="BQ214" s="131">
        <f t="shared" si="178"/>
        <v>50</v>
      </c>
      <c r="BR214" s="131">
        <f t="shared" si="179"/>
        <v>0</v>
      </c>
      <c r="BS214" s="131">
        <f t="shared" si="180"/>
        <v>0</v>
      </c>
      <c r="BT214" s="131">
        <f t="shared" si="181"/>
        <v>12000</v>
      </c>
      <c r="BU214" s="131">
        <f t="shared" si="201"/>
        <v>0</v>
      </c>
      <c r="BV214" s="131">
        <f t="shared" si="182"/>
        <v>0</v>
      </c>
      <c r="BW214" s="131">
        <f t="shared" si="183"/>
        <v>0</v>
      </c>
      <c r="BX214" s="131">
        <f t="shared" si="184"/>
        <v>0</v>
      </c>
      <c r="BY214" s="131">
        <f t="shared" si="185"/>
        <v>0</v>
      </c>
      <c r="BZ214" s="147">
        <f t="shared" si="202"/>
        <v>920</v>
      </c>
      <c r="CA214" s="147">
        <f t="shared" si="203"/>
        <v>199085.11000000013</v>
      </c>
    </row>
    <row r="215" spans="11:79">
      <c r="K215" s="152">
        <f t="shared" si="186"/>
        <v>163</v>
      </c>
      <c r="L215" s="151">
        <f t="shared" si="136"/>
        <v>50617</v>
      </c>
      <c r="M215" s="150">
        <f t="shared" si="187"/>
        <v>0</v>
      </c>
      <c r="N215" s="150">
        <f t="shared" si="137"/>
        <v>0</v>
      </c>
      <c r="O215" s="150">
        <f t="shared" si="138"/>
        <v>0</v>
      </c>
      <c r="P215" s="150">
        <f t="shared" si="139"/>
        <v>0</v>
      </c>
      <c r="Q215" s="150">
        <f t="shared" si="140"/>
        <v>0</v>
      </c>
      <c r="R215" s="150">
        <f t="shared" si="188"/>
        <v>0</v>
      </c>
      <c r="S215" s="150">
        <f t="shared" si="141"/>
        <v>0</v>
      </c>
      <c r="T215" s="150">
        <f t="shared" si="142"/>
        <v>0</v>
      </c>
      <c r="U215" s="150">
        <f t="shared" si="143"/>
        <v>0</v>
      </c>
      <c r="V215" s="150">
        <f t="shared" si="144"/>
        <v>0</v>
      </c>
      <c r="W215" s="150">
        <f t="shared" si="189"/>
        <v>0</v>
      </c>
      <c r="X215" s="150">
        <f t="shared" si="145"/>
        <v>0</v>
      </c>
      <c r="Y215" s="150">
        <f t="shared" si="146"/>
        <v>0</v>
      </c>
      <c r="Z215" s="150">
        <f t="shared" si="147"/>
        <v>0</v>
      </c>
      <c r="AA215" s="150">
        <f t="shared" si="148"/>
        <v>0</v>
      </c>
      <c r="AB215" s="150">
        <f t="shared" si="190"/>
        <v>102390</v>
      </c>
      <c r="AC215" s="150">
        <f t="shared" si="149"/>
        <v>511.95</v>
      </c>
      <c r="AD215" s="150">
        <f t="shared" si="150"/>
        <v>0</v>
      </c>
      <c r="AE215" s="150">
        <f t="shared" si="151"/>
        <v>970</v>
      </c>
      <c r="AF215" s="150">
        <f t="shared" si="152"/>
        <v>101420</v>
      </c>
      <c r="AG215" s="150">
        <f t="shared" si="191"/>
        <v>0</v>
      </c>
      <c r="AH215" s="150">
        <f t="shared" si="153"/>
        <v>0</v>
      </c>
      <c r="AI215" s="150">
        <f t="shared" si="154"/>
        <v>0</v>
      </c>
      <c r="AJ215" s="150">
        <f t="shared" si="155"/>
        <v>0</v>
      </c>
      <c r="AK215" s="150">
        <f t="shared" si="156"/>
        <v>0</v>
      </c>
      <c r="AL215" s="150">
        <f t="shared" si="192"/>
        <v>0</v>
      </c>
      <c r="AM215" s="150">
        <f t="shared" si="157"/>
        <v>0</v>
      </c>
      <c r="AN215" s="150">
        <f t="shared" si="158"/>
        <v>0</v>
      </c>
      <c r="AO215" s="150">
        <f t="shared" si="159"/>
        <v>0</v>
      </c>
      <c r="AP215" s="150">
        <f t="shared" si="160"/>
        <v>0</v>
      </c>
      <c r="AQ215" s="149">
        <f t="shared" si="193"/>
        <v>970</v>
      </c>
      <c r="AR215" s="149">
        <f t="shared" si="194"/>
        <v>212552.8000000004</v>
      </c>
      <c r="AS215" s="133"/>
      <c r="AT215" s="152">
        <f t="shared" si="195"/>
        <v>163</v>
      </c>
      <c r="AU215" s="151">
        <f t="shared" si="161"/>
        <v>50617</v>
      </c>
      <c r="AV215" s="150">
        <f t="shared" si="196"/>
        <v>0</v>
      </c>
      <c r="AW215" s="150">
        <f t="shared" si="162"/>
        <v>0</v>
      </c>
      <c r="AX215" s="150">
        <f t="shared" si="163"/>
        <v>0</v>
      </c>
      <c r="AY215" s="150">
        <f t="shared" si="164"/>
        <v>0</v>
      </c>
      <c r="AZ215" s="150">
        <f t="shared" si="165"/>
        <v>0</v>
      </c>
      <c r="BA215" s="150">
        <f t="shared" si="197"/>
        <v>0</v>
      </c>
      <c r="BB215" s="150">
        <f t="shared" si="166"/>
        <v>0</v>
      </c>
      <c r="BC215" s="150">
        <f t="shared" si="167"/>
        <v>0</v>
      </c>
      <c r="BD215" s="150">
        <f t="shared" si="168"/>
        <v>0</v>
      </c>
      <c r="BE215" s="150">
        <f t="shared" si="169"/>
        <v>0</v>
      </c>
      <c r="BF215" s="150">
        <f t="shared" si="198"/>
        <v>0</v>
      </c>
      <c r="BG215" s="150">
        <f t="shared" si="170"/>
        <v>0</v>
      </c>
      <c r="BH215" s="150">
        <f t="shared" si="171"/>
        <v>0</v>
      </c>
      <c r="BI215" s="150">
        <f t="shared" si="172"/>
        <v>0</v>
      </c>
      <c r="BJ215" s="150">
        <f t="shared" si="173"/>
        <v>0</v>
      </c>
      <c r="BK215" s="150">
        <f t="shared" si="199"/>
        <v>94760</v>
      </c>
      <c r="BL215" s="150">
        <f t="shared" si="174"/>
        <v>473.8</v>
      </c>
      <c r="BM215" s="150">
        <f t="shared" si="175"/>
        <v>0</v>
      </c>
      <c r="BN215" s="150">
        <f t="shared" si="176"/>
        <v>920</v>
      </c>
      <c r="BO215" s="150">
        <f t="shared" si="177"/>
        <v>93840</v>
      </c>
      <c r="BP215" s="150">
        <f t="shared" si="200"/>
        <v>12000</v>
      </c>
      <c r="BQ215" s="150">
        <f t="shared" si="178"/>
        <v>50</v>
      </c>
      <c r="BR215" s="150">
        <f t="shared" si="179"/>
        <v>0</v>
      </c>
      <c r="BS215" s="150">
        <f t="shared" si="180"/>
        <v>0</v>
      </c>
      <c r="BT215" s="150">
        <f t="shared" si="181"/>
        <v>12000</v>
      </c>
      <c r="BU215" s="150">
        <f t="shared" si="201"/>
        <v>0</v>
      </c>
      <c r="BV215" s="150">
        <f t="shared" si="182"/>
        <v>0</v>
      </c>
      <c r="BW215" s="150">
        <f t="shared" si="183"/>
        <v>0</v>
      </c>
      <c r="BX215" s="150">
        <f t="shared" si="184"/>
        <v>0</v>
      </c>
      <c r="BY215" s="150">
        <f t="shared" si="185"/>
        <v>0</v>
      </c>
      <c r="BZ215" s="147">
        <f t="shared" si="202"/>
        <v>920</v>
      </c>
      <c r="CA215" s="147">
        <f t="shared" si="203"/>
        <v>199608.91000000012</v>
      </c>
    </row>
    <row r="216" spans="11:79">
      <c r="K216" s="132">
        <f t="shared" si="186"/>
        <v>164</v>
      </c>
      <c r="L216" s="148">
        <f t="shared" si="136"/>
        <v>50648</v>
      </c>
      <c r="M216" s="131">
        <f t="shared" si="187"/>
        <v>0</v>
      </c>
      <c r="N216" s="131">
        <f t="shared" si="137"/>
        <v>0</v>
      </c>
      <c r="O216" s="131">
        <f t="shared" si="138"/>
        <v>0</v>
      </c>
      <c r="P216" s="131">
        <f t="shared" si="139"/>
        <v>0</v>
      </c>
      <c r="Q216" s="131">
        <f t="shared" si="140"/>
        <v>0</v>
      </c>
      <c r="R216" s="131">
        <f t="shared" si="188"/>
        <v>0</v>
      </c>
      <c r="S216" s="131">
        <f t="shared" si="141"/>
        <v>0</v>
      </c>
      <c r="T216" s="131">
        <f t="shared" si="142"/>
        <v>0</v>
      </c>
      <c r="U216" s="131">
        <f t="shared" si="143"/>
        <v>0</v>
      </c>
      <c r="V216" s="131">
        <f t="shared" si="144"/>
        <v>0</v>
      </c>
      <c r="W216" s="131">
        <f t="shared" si="189"/>
        <v>0</v>
      </c>
      <c r="X216" s="131">
        <f t="shared" si="145"/>
        <v>0</v>
      </c>
      <c r="Y216" s="131">
        <f t="shared" si="146"/>
        <v>0</v>
      </c>
      <c r="Z216" s="131">
        <f t="shared" si="147"/>
        <v>0</v>
      </c>
      <c r="AA216" s="131">
        <f t="shared" si="148"/>
        <v>0</v>
      </c>
      <c r="AB216" s="131">
        <f t="shared" si="190"/>
        <v>101420</v>
      </c>
      <c r="AC216" s="131">
        <f t="shared" si="149"/>
        <v>507.1</v>
      </c>
      <c r="AD216" s="131">
        <f t="shared" si="150"/>
        <v>0</v>
      </c>
      <c r="AE216" s="131">
        <f t="shared" si="151"/>
        <v>970</v>
      </c>
      <c r="AF216" s="131">
        <f t="shared" si="152"/>
        <v>100450</v>
      </c>
      <c r="AG216" s="131">
        <f t="shared" si="191"/>
        <v>0</v>
      </c>
      <c r="AH216" s="131">
        <f t="shared" si="153"/>
        <v>0</v>
      </c>
      <c r="AI216" s="131">
        <f t="shared" si="154"/>
        <v>0</v>
      </c>
      <c r="AJ216" s="131">
        <f t="shared" si="155"/>
        <v>0</v>
      </c>
      <c r="AK216" s="131">
        <f t="shared" si="156"/>
        <v>0</v>
      </c>
      <c r="AL216" s="131">
        <f t="shared" si="192"/>
        <v>0</v>
      </c>
      <c r="AM216" s="131">
        <f t="shared" si="157"/>
        <v>0</v>
      </c>
      <c r="AN216" s="131">
        <f t="shared" si="158"/>
        <v>0</v>
      </c>
      <c r="AO216" s="131">
        <f t="shared" si="159"/>
        <v>0</v>
      </c>
      <c r="AP216" s="131">
        <f t="shared" si="160"/>
        <v>0</v>
      </c>
      <c r="AQ216" s="149">
        <f t="shared" si="193"/>
        <v>970</v>
      </c>
      <c r="AR216" s="149">
        <f t="shared" si="194"/>
        <v>213059.9000000004</v>
      </c>
      <c r="AS216" s="133"/>
      <c r="AT216" s="132">
        <f t="shared" si="195"/>
        <v>164</v>
      </c>
      <c r="AU216" s="148">
        <f t="shared" si="161"/>
        <v>50648</v>
      </c>
      <c r="AV216" s="131">
        <f t="shared" si="196"/>
        <v>0</v>
      </c>
      <c r="AW216" s="131">
        <f t="shared" si="162"/>
        <v>0</v>
      </c>
      <c r="AX216" s="131">
        <f t="shared" si="163"/>
        <v>0</v>
      </c>
      <c r="AY216" s="131">
        <f t="shared" si="164"/>
        <v>0</v>
      </c>
      <c r="AZ216" s="131">
        <f t="shared" si="165"/>
        <v>0</v>
      </c>
      <c r="BA216" s="131">
        <f t="shared" si="197"/>
        <v>0</v>
      </c>
      <c r="BB216" s="131">
        <f t="shared" si="166"/>
        <v>0</v>
      </c>
      <c r="BC216" s="131">
        <f t="shared" si="167"/>
        <v>0</v>
      </c>
      <c r="BD216" s="131">
        <f t="shared" si="168"/>
        <v>0</v>
      </c>
      <c r="BE216" s="131">
        <f t="shared" si="169"/>
        <v>0</v>
      </c>
      <c r="BF216" s="131">
        <f t="shared" si="198"/>
        <v>0</v>
      </c>
      <c r="BG216" s="131">
        <f t="shared" si="170"/>
        <v>0</v>
      </c>
      <c r="BH216" s="131">
        <f t="shared" si="171"/>
        <v>0</v>
      </c>
      <c r="BI216" s="131">
        <f t="shared" si="172"/>
        <v>0</v>
      </c>
      <c r="BJ216" s="131">
        <f t="shared" si="173"/>
        <v>0</v>
      </c>
      <c r="BK216" s="131">
        <f t="shared" si="199"/>
        <v>93840</v>
      </c>
      <c r="BL216" s="131">
        <f t="shared" si="174"/>
        <v>469.2</v>
      </c>
      <c r="BM216" s="131">
        <f t="shared" si="175"/>
        <v>0</v>
      </c>
      <c r="BN216" s="131">
        <f t="shared" si="176"/>
        <v>920</v>
      </c>
      <c r="BO216" s="131">
        <f t="shared" si="177"/>
        <v>92920</v>
      </c>
      <c r="BP216" s="131">
        <f t="shared" si="200"/>
        <v>12000</v>
      </c>
      <c r="BQ216" s="131">
        <f t="shared" si="178"/>
        <v>50</v>
      </c>
      <c r="BR216" s="131">
        <f t="shared" si="179"/>
        <v>0</v>
      </c>
      <c r="BS216" s="131">
        <f t="shared" si="180"/>
        <v>0</v>
      </c>
      <c r="BT216" s="131">
        <f t="shared" si="181"/>
        <v>12000</v>
      </c>
      <c r="BU216" s="131">
        <f t="shared" si="201"/>
        <v>0</v>
      </c>
      <c r="BV216" s="131">
        <f t="shared" si="182"/>
        <v>0</v>
      </c>
      <c r="BW216" s="131">
        <f t="shared" si="183"/>
        <v>0</v>
      </c>
      <c r="BX216" s="131">
        <f t="shared" si="184"/>
        <v>0</v>
      </c>
      <c r="BY216" s="131">
        <f t="shared" si="185"/>
        <v>0</v>
      </c>
      <c r="BZ216" s="147">
        <f t="shared" si="202"/>
        <v>920</v>
      </c>
      <c r="CA216" s="147">
        <f t="shared" si="203"/>
        <v>200128.11000000013</v>
      </c>
    </row>
    <row r="217" spans="11:79">
      <c r="K217" s="152">
        <f t="shared" si="186"/>
        <v>165</v>
      </c>
      <c r="L217" s="151">
        <f t="shared" si="136"/>
        <v>50678</v>
      </c>
      <c r="M217" s="150">
        <f t="shared" si="187"/>
        <v>0</v>
      </c>
      <c r="N217" s="150">
        <f t="shared" si="137"/>
        <v>0</v>
      </c>
      <c r="O217" s="150">
        <f t="shared" si="138"/>
        <v>0</v>
      </c>
      <c r="P217" s="150">
        <f t="shared" si="139"/>
        <v>0</v>
      </c>
      <c r="Q217" s="150">
        <f t="shared" si="140"/>
        <v>0</v>
      </c>
      <c r="R217" s="150">
        <f t="shared" si="188"/>
        <v>0</v>
      </c>
      <c r="S217" s="150">
        <f t="shared" si="141"/>
        <v>0</v>
      </c>
      <c r="T217" s="150">
        <f t="shared" si="142"/>
        <v>0</v>
      </c>
      <c r="U217" s="150">
        <f t="shared" si="143"/>
        <v>0</v>
      </c>
      <c r="V217" s="150">
        <f t="shared" si="144"/>
        <v>0</v>
      </c>
      <c r="W217" s="150">
        <f t="shared" si="189"/>
        <v>0</v>
      </c>
      <c r="X217" s="150">
        <f t="shared" si="145"/>
        <v>0</v>
      </c>
      <c r="Y217" s="150">
        <f t="shared" si="146"/>
        <v>0</v>
      </c>
      <c r="Z217" s="150">
        <f t="shared" si="147"/>
        <v>0</v>
      </c>
      <c r="AA217" s="150">
        <f t="shared" si="148"/>
        <v>0</v>
      </c>
      <c r="AB217" s="150">
        <f t="shared" si="190"/>
        <v>100450</v>
      </c>
      <c r="AC217" s="150">
        <f t="shared" si="149"/>
        <v>502.25</v>
      </c>
      <c r="AD217" s="150">
        <f t="shared" si="150"/>
        <v>0</v>
      </c>
      <c r="AE217" s="150">
        <f t="shared" si="151"/>
        <v>970</v>
      </c>
      <c r="AF217" s="150">
        <f t="shared" si="152"/>
        <v>99480</v>
      </c>
      <c r="AG217" s="150">
        <f t="shared" si="191"/>
        <v>0</v>
      </c>
      <c r="AH217" s="150">
        <f t="shared" si="153"/>
        <v>0</v>
      </c>
      <c r="AI217" s="150">
        <f t="shared" si="154"/>
        <v>0</v>
      </c>
      <c r="AJ217" s="150">
        <f t="shared" si="155"/>
        <v>0</v>
      </c>
      <c r="AK217" s="150">
        <f t="shared" si="156"/>
        <v>0</v>
      </c>
      <c r="AL217" s="150">
        <f t="shared" si="192"/>
        <v>0</v>
      </c>
      <c r="AM217" s="150">
        <f t="shared" si="157"/>
        <v>0</v>
      </c>
      <c r="AN217" s="150">
        <f t="shared" si="158"/>
        <v>0</v>
      </c>
      <c r="AO217" s="150">
        <f t="shared" si="159"/>
        <v>0</v>
      </c>
      <c r="AP217" s="150">
        <f t="shared" si="160"/>
        <v>0</v>
      </c>
      <c r="AQ217" s="149">
        <f t="shared" si="193"/>
        <v>970</v>
      </c>
      <c r="AR217" s="149">
        <f t="shared" si="194"/>
        <v>213562.1500000004</v>
      </c>
      <c r="AS217" s="133"/>
      <c r="AT217" s="152">
        <f t="shared" si="195"/>
        <v>165</v>
      </c>
      <c r="AU217" s="151">
        <f t="shared" si="161"/>
        <v>50678</v>
      </c>
      <c r="AV217" s="150">
        <f t="shared" si="196"/>
        <v>0</v>
      </c>
      <c r="AW217" s="150">
        <f t="shared" si="162"/>
        <v>0</v>
      </c>
      <c r="AX217" s="150">
        <f t="shared" si="163"/>
        <v>0</v>
      </c>
      <c r="AY217" s="150">
        <f t="shared" si="164"/>
        <v>0</v>
      </c>
      <c r="AZ217" s="150">
        <f t="shared" si="165"/>
        <v>0</v>
      </c>
      <c r="BA217" s="150">
        <f t="shared" si="197"/>
        <v>0</v>
      </c>
      <c r="BB217" s="150">
        <f t="shared" si="166"/>
        <v>0</v>
      </c>
      <c r="BC217" s="150">
        <f t="shared" si="167"/>
        <v>0</v>
      </c>
      <c r="BD217" s="150">
        <f t="shared" si="168"/>
        <v>0</v>
      </c>
      <c r="BE217" s="150">
        <f t="shared" si="169"/>
        <v>0</v>
      </c>
      <c r="BF217" s="150">
        <f t="shared" si="198"/>
        <v>0</v>
      </c>
      <c r="BG217" s="150">
        <f t="shared" si="170"/>
        <v>0</v>
      </c>
      <c r="BH217" s="150">
        <f t="shared" si="171"/>
        <v>0</v>
      </c>
      <c r="BI217" s="150">
        <f t="shared" si="172"/>
        <v>0</v>
      </c>
      <c r="BJ217" s="150">
        <f t="shared" si="173"/>
        <v>0</v>
      </c>
      <c r="BK217" s="150">
        <f t="shared" si="199"/>
        <v>92920</v>
      </c>
      <c r="BL217" s="150">
        <f t="shared" si="174"/>
        <v>464.6</v>
      </c>
      <c r="BM217" s="150">
        <f t="shared" si="175"/>
        <v>0</v>
      </c>
      <c r="BN217" s="150">
        <f t="shared" si="176"/>
        <v>920</v>
      </c>
      <c r="BO217" s="150">
        <f t="shared" si="177"/>
        <v>92000</v>
      </c>
      <c r="BP217" s="150">
        <f t="shared" si="200"/>
        <v>12000</v>
      </c>
      <c r="BQ217" s="150">
        <f t="shared" si="178"/>
        <v>50</v>
      </c>
      <c r="BR217" s="150">
        <f t="shared" si="179"/>
        <v>0</v>
      </c>
      <c r="BS217" s="150">
        <f t="shared" si="180"/>
        <v>0</v>
      </c>
      <c r="BT217" s="150">
        <f t="shared" si="181"/>
        <v>12000</v>
      </c>
      <c r="BU217" s="150">
        <f t="shared" si="201"/>
        <v>0</v>
      </c>
      <c r="BV217" s="150">
        <f t="shared" si="182"/>
        <v>0</v>
      </c>
      <c r="BW217" s="150">
        <f t="shared" si="183"/>
        <v>0</v>
      </c>
      <c r="BX217" s="150">
        <f t="shared" si="184"/>
        <v>0</v>
      </c>
      <c r="BY217" s="150">
        <f t="shared" si="185"/>
        <v>0</v>
      </c>
      <c r="BZ217" s="147">
        <f t="shared" si="202"/>
        <v>920</v>
      </c>
      <c r="CA217" s="147">
        <f t="shared" si="203"/>
        <v>200642.71000000014</v>
      </c>
    </row>
    <row r="218" spans="11:79">
      <c r="K218" s="132">
        <f t="shared" si="186"/>
        <v>166</v>
      </c>
      <c r="L218" s="148">
        <f t="shared" si="136"/>
        <v>50709</v>
      </c>
      <c r="M218" s="131">
        <f t="shared" si="187"/>
        <v>0</v>
      </c>
      <c r="N218" s="131">
        <f t="shared" si="137"/>
        <v>0</v>
      </c>
      <c r="O218" s="131">
        <f t="shared" si="138"/>
        <v>0</v>
      </c>
      <c r="P218" s="131">
        <f t="shared" si="139"/>
        <v>0</v>
      </c>
      <c r="Q218" s="131">
        <f t="shared" si="140"/>
        <v>0</v>
      </c>
      <c r="R218" s="131">
        <f t="shared" si="188"/>
        <v>0</v>
      </c>
      <c r="S218" s="131">
        <f t="shared" si="141"/>
        <v>0</v>
      </c>
      <c r="T218" s="131">
        <f t="shared" si="142"/>
        <v>0</v>
      </c>
      <c r="U218" s="131">
        <f t="shared" si="143"/>
        <v>0</v>
      </c>
      <c r="V218" s="131">
        <f t="shared" si="144"/>
        <v>0</v>
      </c>
      <c r="W218" s="131">
        <f t="shared" si="189"/>
        <v>0</v>
      </c>
      <c r="X218" s="131">
        <f t="shared" si="145"/>
        <v>0</v>
      </c>
      <c r="Y218" s="131">
        <f t="shared" si="146"/>
        <v>0</v>
      </c>
      <c r="Z218" s="131">
        <f t="shared" si="147"/>
        <v>0</v>
      </c>
      <c r="AA218" s="131">
        <f t="shared" si="148"/>
        <v>0</v>
      </c>
      <c r="AB218" s="131">
        <f t="shared" si="190"/>
        <v>99480</v>
      </c>
      <c r="AC218" s="131">
        <f t="shared" si="149"/>
        <v>497.4</v>
      </c>
      <c r="AD218" s="131">
        <f t="shared" si="150"/>
        <v>0</v>
      </c>
      <c r="AE218" s="131">
        <f t="shared" si="151"/>
        <v>970</v>
      </c>
      <c r="AF218" s="131">
        <f t="shared" si="152"/>
        <v>98510</v>
      </c>
      <c r="AG218" s="131">
        <f t="shared" si="191"/>
        <v>0</v>
      </c>
      <c r="AH218" s="131">
        <f t="shared" si="153"/>
        <v>0</v>
      </c>
      <c r="AI218" s="131">
        <f t="shared" si="154"/>
        <v>0</v>
      </c>
      <c r="AJ218" s="131">
        <f t="shared" si="155"/>
        <v>0</v>
      </c>
      <c r="AK218" s="131">
        <f t="shared" si="156"/>
        <v>0</v>
      </c>
      <c r="AL218" s="131">
        <f t="shared" si="192"/>
        <v>0</v>
      </c>
      <c r="AM218" s="131">
        <f t="shared" si="157"/>
        <v>0</v>
      </c>
      <c r="AN218" s="131">
        <f t="shared" si="158"/>
        <v>0</v>
      </c>
      <c r="AO218" s="131">
        <f t="shared" si="159"/>
        <v>0</v>
      </c>
      <c r="AP218" s="131">
        <f t="shared" si="160"/>
        <v>0</v>
      </c>
      <c r="AQ218" s="149">
        <f t="shared" si="193"/>
        <v>970</v>
      </c>
      <c r="AR218" s="149">
        <f t="shared" si="194"/>
        <v>214059.5500000004</v>
      </c>
      <c r="AS218" s="133"/>
      <c r="AT218" s="132">
        <f t="shared" si="195"/>
        <v>166</v>
      </c>
      <c r="AU218" s="148">
        <f t="shared" si="161"/>
        <v>50709</v>
      </c>
      <c r="AV218" s="131">
        <f t="shared" si="196"/>
        <v>0</v>
      </c>
      <c r="AW218" s="131">
        <f t="shared" si="162"/>
        <v>0</v>
      </c>
      <c r="AX218" s="131">
        <f t="shared" si="163"/>
        <v>0</v>
      </c>
      <c r="AY218" s="131">
        <f t="shared" si="164"/>
        <v>0</v>
      </c>
      <c r="AZ218" s="131">
        <f t="shared" si="165"/>
        <v>0</v>
      </c>
      <c r="BA218" s="131">
        <f t="shared" si="197"/>
        <v>0</v>
      </c>
      <c r="BB218" s="131">
        <f t="shared" si="166"/>
        <v>0</v>
      </c>
      <c r="BC218" s="131">
        <f t="shared" si="167"/>
        <v>0</v>
      </c>
      <c r="BD218" s="131">
        <f t="shared" si="168"/>
        <v>0</v>
      </c>
      <c r="BE218" s="131">
        <f t="shared" si="169"/>
        <v>0</v>
      </c>
      <c r="BF218" s="131">
        <f t="shared" si="198"/>
        <v>0</v>
      </c>
      <c r="BG218" s="131">
        <f t="shared" si="170"/>
        <v>0</v>
      </c>
      <c r="BH218" s="131">
        <f t="shared" si="171"/>
        <v>0</v>
      </c>
      <c r="BI218" s="131">
        <f t="shared" si="172"/>
        <v>0</v>
      </c>
      <c r="BJ218" s="131">
        <f t="shared" si="173"/>
        <v>0</v>
      </c>
      <c r="BK218" s="131">
        <f t="shared" si="199"/>
        <v>92000</v>
      </c>
      <c r="BL218" s="131">
        <f t="shared" si="174"/>
        <v>460</v>
      </c>
      <c r="BM218" s="131">
        <f t="shared" si="175"/>
        <v>0</v>
      </c>
      <c r="BN218" s="131">
        <f t="shared" si="176"/>
        <v>920</v>
      </c>
      <c r="BO218" s="131">
        <f t="shared" si="177"/>
        <v>91080</v>
      </c>
      <c r="BP218" s="131">
        <f t="shared" si="200"/>
        <v>12000</v>
      </c>
      <c r="BQ218" s="131">
        <f t="shared" si="178"/>
        <v>50</v>
      </c>
      <c r="BR218" s="131">
        <f t="shared" si="179"/>
        <v>0</v>
      </c>
      <c r="BS218" s="131">
        <f t="shared" si="180"/>
        <v>0</v>
      </c>
      <c r="BT218" s="131">
        <f t="shared" si="181"/>
        <v>12000</v>
      </c>
      <c r="BU218" s="131">
        <f t="shared" si="201"/>
        <v>0</v>
      </c>
      <c r="BV218" s="131">
        <f t="shared" si="182"/>
        <v>0</v>
      </c>
      <c r="BW218" s="131">
        <f t="shared" si="183"/>
        <v>0</v>
      </c>
      <c r="BX218" s="131">
        <f t="shared" si="184"/>
        <v>0</v>
      </c>
      <c r="BY218" s="131">
        <f t="shared" si="185"/>
        <v>0</v>
      </c>
      <c r="BZ218" s="147">
        <f t="shared" si="202"/>
        <v>920</v>
      </c>
      <c r="CA218" s="147">
        <f t="shared" si="203"/>
        <v>201152.71000000014</v>
      </c>
    </row>
    <row r="219" spans="11:79">
      <c r="K219" s="152">
        <f t="shared" si="186"/>
        <v>167</v>
      </c>
      <c r="L219" s="151">
        <f t="shared" si="136"/>
        <v>50739</v>
      </c>
      <c r="M219" s="150">
        <f t="shared" si="187"/>
        <v>0</v>
      </c>
      <c r="N219" s="150">
        <f t="shared" si="137"/>
        <v>0</v>
      </c>
      <c r="O219" s="150">
        <f t="shared" si="138"/>
        <v>0</v>
      </c>
      <c r="P219" s="150">
        <f t="shared" si="139"/>
        <v>0</v>
      </c>
      <c r="Q219" s="150">
        <f t="shared" si="140"/>
        <v>0</v>
      </c>
      <c r="R219" s="150">
        <f t="shared" si="188"/>
        <v>0</v>
      </c>
      <c r="S219" s="150">
        <f t="shared" si="141"/>
        <v>0</v>
      </c>
      <c r="T219" s="150">
        <f t="shared" si="142"/>
        <v>0</v>
      </c>
      <c r="U219" s="150">
        <f t="shared" si="143"/>
        <v>0</v>
      </c>
      <c r="V219" s="150">
        <f t="shared" si="144"/>
        <v>0</v>
      </c>
      <c r="W219" s="150">
        <f t="shared" si="189"/>
        <v>0</v>
      </c>
      <c r="X219" s="150">
        <f t="shared" si="145"/>
        <v>0</v>
      </c>
      <c r="Y219" s="150">
        <f t="shared" si="146"/>
        <v>0</v>
      </c>
      <c r="Z219" s="150">
        <f t="shared" si="147"/>
        <v>0</v>
      </c>
      <c r="AA219" s="150">
        <f t="shared" si="148"/>
        <v>0</v>
      </c>
      <c r="AB219" s="150">
        <f t="shared" si="190"/>
        <v>98510</v>
      </c>
      <c r="AC219" s="150">
        <f t="shared" si="149"/>
        <v>492.55</v>
      </c>
      <c r="AD219" s="150">
        <f t="shared" si="150"/>
        <v>0</v>
      </c>
      <c r="AE219" s="150">
        <f t="shared" si="151"/>
        <v>970</v>
      </c>
      <c r="AF219" s="150">
        <f t="shared" si="152"/>
        <v>97540</v>
      </c>
      <c r="AG219" s="150">
        <f t="shared" si="191"/>
        <v>0</v>
      </c>
      <c r="AH219" s="150">
        <f t="shared" si="153"/>
        <v>0</v>
      </c>
      <c r="AI219" s="150">
        <f t="shared" si="154"/>
        <v>0</v>
      </c>
      <c r="AJ219" s="150">
        <f t="shared" si="155"/>
        <v>0</v>
      </c>
      <c r="AK219" s="150">
        <f t="shared" si="156"/>
        <v>0</v>
      </c>
      <c r="AL219" s="150">
        <f t="shared" si="192"/>
        <v>0</v>
      </c>
      <c r="AM219" s="150">
        <f t="shared" si="157"/>
        <v>0</v>
      </c>
      <c r="AN219" s="150">
        <f t="shared" si="158"/>
        <v>0</v>
      </c>
      <c r="AO219" s="150">
        <f t="shared" si="159"/>
        <v>0</v>
      </c>
      <c r="AP219" s="150">
        <f t="shared" si="160"/>
        <v>0</v>
      </c>
      <c r="AQ219" s="149">
        <f t="shared" si="193"/>
        <v>970</v>
      </c>
      <c r="AR219" s="149">
        <f t="shared" si="194"/>
        <v>214552.10000000038</v>
      </c>
      <c r="AS219" s="133"/>
      <c r="AT219" s="152">
        <f t="shared" si="195"/>
        <v>167</v>
      </c>
      <c r="AU219" s="151">
        <f t="shared" si="161"/>
        <v>50739</v>
      </c>
      <c r="AV219" s="150">
        <f t="shared" si="196"/>
        <v>0</v>
      </c>
      <c r="AW219" s="150">
        <f t="shared" si="162"/>
        <v>0</v>
      </c>
      <c r="AX219" s="150">
        <f t="shared" si="163"/>
        <v>0</v>
      </c>
      <c r="AY219" s="150">
        <f t="shared" si="164"/>
        <v>0</v>
      </c>
      <c r="AZ219" s="150">
        <f t="shared" si="165"/>
        <v>0</v>
      </c>
      <c r="BA219" s="150">
        <f t="shared" si="197"/>
        <v>0</v>
      </c>
      <c r="BB219" s="150">
        <f t="shared" si="166"/>
        <v>0</v>
      </c>
      <c r="BC219" s="150">
        <f t="shared" si="167"/>
        <v>0</v>
      </c>
      <c r="BD219" s="150">
        <f t="shared" si="168"/>
        <v>0</v>
      </c>
      <c r="BE219" s="150">
        <f t="shared" si="169"/>
        <v>0</v>
      </c>
      <c r="BF219" s="150">
        <f t="shared" si="198"/>
        <v>0</v>
      </c>
      <c r="BG219" s="150">
        <f t="shared" si="170"/>
        <v>0</v>
      </c>
      <c r="BH219" s="150">
        <f t="shared" si="171"/>
        <v>0</v>
      </c>
      <c r="BI219" s="150">
        <f t="shared" si="172"/>
        <v>0</v>
      </c>
      <c r="BJ219" s="150">
        <f t="shared" si="173"/>
        <v>0</v>
      </c>
      <c r="BK219" s="150">
        <f t="shared" si="199"/>
        <v>91080</v>
      </c>
      <c r="BL219" s="150">
        <f t="shared" si="174"/>
        <v>455.4</v>
      </c>
      <c r="BM219" s="150">
        <f t="shared" si="175"/>
        <v>0</v>
      </c>
      <c r="BN219" s="150">
        <f t="shared" si="176"/>
        <v>920</v>
      </c>
      <c r="BO219" s="150">
        <f t="shared" si="177"/>
        <v>90160</v>
      </c>
      <c r="BP219" s="150">
        <f t="shared" si="200"/>
        <v>12000</v>
      </c>
      <c r="BQ219" s="150">
        <f t="shared" si="178"/>
        <v>50</v>
      </c>
      <c r="BR219" s="150">
        <f t="shared" si="179"/>
        <v>0</v>
      </c>
      <c r="BS219" s="150">
        <f t="shared" si="180"/>
        <v>0</v>
      </c>
      <c r="BT219" s="150">
        <f t="shared" si="181"/>
        <v>12000</v>
      </c>
      <c r="BU219" s="150">
        <f t="shared" si="201"/>
        <v>0</v>
      </c>
      <c r="BV219" s="150">
        <f t="shared" si="182"/>
        <v>0</v>
      </c>
      <c r="BW219" s="150">
        <f t="shared" si="183"/>
        <v>0</v>
      </c>
      <c r="BX219" s="150">
        <f t="shared" si="184"/>
        <v>0</v>
      </c>
      <c r="BY219" s="150">
        <f t="shared" si="185"/>
        <v>0</v>
      </c>
      <c r="BZ219" s="147">
        <f t="shared" si="202"/>
        <v>920</v>
      </c>
      <c r="CA219" s="147">
        <f t="shared" si="203"/>
        <v>201658.11000000013</v>
      </c>
    </row>
    <row r="220" spans="11:79">
      <c r="K220" s="132">
        <f t="shared" si="186"/>
        <v>168</v>
      </c>
      <c r="L220" s="148">
        <f t="shared" si="136"/>
        <v>50770</v>
      </c>
      <c r="M220" s="131">
        <f t="shared" si="187"/>
        <v>0</v>
      </c>
      <c r="N220" s="131">
        <f t="shared" si="137"/>
        <v>0</v>
      </c>
      <c r="O220" s="131">
        <f t="shared" si="138"/>
        <v>0</v>
      </c>
      <c r="P220" s="131">
        <f t="shared" si="139"/>
        <v>0</v>
      </c>
      <c r="Q220" s="131">
        <f t="shared" si="140"/>
        <v>0</v>
      </c>
      <c r="R220" s="131">
        <f t="shared" si="188"/>
        <v>0</v>
      </c>
      <c r="S220" s="131">
        <f t="shared" si="141"/>
        <v>0</v>
      </c>
      <c r="T220" s="131">
        <f t="shared" si="142"/>
        <v>0</v>
      </c>
      <c r="U220" s="131">
        <f t="shared" si="143"/>
        <v>0</v>
      </c>
      <c r="V220" s="131">
        <f t="shared" si="144"/>
        <v>0</v>
      </c>
      <c r="W220" s="131">
        <f t="shared" si="189"/>
        <v>0</v>
      </c>
      <c r="X220" s="131">
        <f t="shared" si="145"/>
        <v>0</v>
      </c>
      <c r="Y220" s="131">
        <f t="shared" si="146"/>
        <v>0</v>
      </c>
      <c r="Z220" s="131">
        <f t="shared" si="147"/>
        <v>0</v>
      </c>
      <c r="AA220" s="131">
        <f t="shared" si="148"/>
        <v>0</v>
      </c>
      <c r="AB220" s="131">
        <f t="shared" si="190"/>
        <v>97540</v>
      </c>
      <c r="AC220" s="131">
        <f t="shared" si="149"/>
        <v>487.7</v>
      </c>
      <c r="AD220" s="131">
        <f t="shared" si="150"/>
        <v>0</v>
      </c>
      <c r="AE220" s="131">
        <f t="shared" si="151"/>
        <v>970</v>
      </c>
      <c r="AF220" s="131">
        <f t="shared" si="152"/>
        <v>96570</v>
      </c>
      <c r="AG220" s="131">
        <f t="shared" si="191"/>
        <v>0</v>
      </c>
      <c r="AH220" s="131">
        <f t="shared" si="153"/>
        <v>0</v>
      </c>
      <c r="AI220" s="131">
        <f t="shared" si="154"/>
        <v>0</v>
      </c>
      <c r="AJ220" s="131">
        <f t="shared" si="155"/>
        <v>0</v>
      </c>
      <c r="AK220" s="131">
        <f t="shared" si="156"/>
        <v>0</v>
      </c>
      <c r="AL220" s="131">
        <f t="shared" si="192"/>
        <v>0</v>
      </c>
      <c r="AM220" s="131">
        <f t="shared" si="157"/>
        <v>0</v>
      </c>
      <c r="AN220" s="131">
        <f t="shared" si="158"/>
        <v>0</v>
      </c>
      <c r="AO220" s="131">
        <f t="shared" si="159"/>
        <v>0</v>
      </c>
      <c r="AP220" s="131">
        <f t="shared" si="160"/>
        <v>0</v>
      </c>
      <c r="AQ220" s="149">
        <f t="shared" si="193"/>
        <v>970</v>
      </c>
      <c r="AR220" s="149">
        <f t="shared" si="194"/>
        <v>215039.8000000004</v>
      </c>
      <c r="AS220" s="133"/>
      <c r="AT220" s="132">
        <f t="shared" si="195"/>
        <v>168</v>
      </c>
      <c r="AU220" s="148">
        <f t="shared" si="161"/>
        <v>50770</v>
      </c>
      <c r="AV220" s="131">
        <f t="shared" si="196"/>
        <v>0</v>
      </c>
      <c r="AW220" s="131">
        <f t="shared" si="162"/>
        <v>0</v>
      </c>
      <c r="AX220" s="131">
        <f t="shared" si="163"/>
        <v>0</v>
      </c>
      <c r="AY220" s="131">
        <f t="shared" si="164"/>
        <v>0</v>
      </c>
      <c r="AZ220" s="131">
        <f t="shared" si="165"/>
        <v>0</v>
      </c>
      <c r="BA220" s="131">
        <f t="shared" si="197"/>
        <v>0</v>
      </c>
      <c r="BB220" s="131">
        <f t="shared" si="166"/>
        <v>0</v>
      </c>
      <c r="BC220" s="131">
        <f t="shared" si="167"/>
        <v>0</v>
      </c>
      <c r="BD220" s="131">
        <f t="shared" si="168"/>
        <v>0</v>
      </c>
      <c r="BE220" s="131">
        <f t="shared" si="169"/>
        <v>0</v>
      </c>
      <c r="BF220" s="131">
        <f t="shared" si="198"/>
        <v>0</v>
      </c>
      <c r="BG220" s="131">
        <f t="shared" si="170"/>
        <v>0</v>
      </c>
      <c r="BH220" s="131">
        <f t="shared" si="171"/>
        <v>0</v>
      </c>
      <c r="BI220" s="131">
        <f t="shared" si="172"/>
        <v>0</v>
      </c>
      <c r="BJ220" s="131">
        <f t="shared" si="173"/>
        <v>0</v>
      </c>
      <c r="BK220" s="131">
        <f t="shared" si="199"/>
        <v>90160</v>
      </c>
      <c r="BL220" s="131">
        <f t="shared" si="174"/>
        <v>450.8</v>
      </c>
      <c r="BM220" s="131">
        <f t="shared" si="175"/>
        <v>0</v>
      </c>
      <c r="BN220" s="131">
        <f t="shared" si="176"/>
        <v>920</v>
      </c>
      <c r="BO220" s="131">
        <f t="shared" si="177"/>
        <v>89240</v>
      </c>
      <c r="BP220" s="131">
        <f t="shared" si="200"/>
        <v>12000</v>
      </c>
      <c r="BQ220" s="131">
        <f t="shared" si="178"/>
        <v>50</v>
      </c>
      <c r="BR220" s="131">
        <f t="shared" si="179"/>
        <v>0</v>
      </c>
      <c r="BS220" s="131">
        <f t="shared" si="180"/>
        <v>0</v>
      </c>
      <c r="BT220" s="131">
        <f t="shared" si="181"/>
        <v>12000</v>
      </c>
      <c r="BU220" s="131">
        <f t="shared" si="201"/>
        <v>0</v>
      </c>
      <c r="BV220" s="131">
        <f t="shared" si="182"/>
        <v>0</v>
      </c>
      <c r="BW220" s="131">
        <f t="shared" si="183"/>
        <v>0</v>
      </c>
      <c r="BX220" s="131">
        <f t="shared" si="184"/>
        <v>0</v>
      </c>
      <c r="BY220" s="131">
        <f t="shared" si="185"/>
        <v>0</v>
      </c>
      <c r="BZ220" s="147">
        <f t="shared" si="202"/>
        <v>920</v>
      </c>
      <c r="CA220" s="147">
        <f t="shared" si="203"/>
        <v>202158.91000000012</v>
      </c>
    </row>
    <row r="221" spans="11:79">
      <c r="K221" s="152">
        <f t="shared" si="186"/>
        <v>169</v>
      </c>
      <c r="L221" s="151">
        <f t="shared" si="136"/>
        <v>50801</v>
      </c>
      <c r="M221" s="150">
        <f t="shared" si="187"/>
        <v>0</v>
      </c>
      <c r="N221" s="150">
        <f t="shared" si="137"/>
        <v>0</v>
      </c>
      <c r="O221" s="150">
        <f t="shared" si="138"/>
        <v>0</v>
      </c>
      <c r="P221" s="150">
        <f t="shared" si="139"/>
        <v>0</v>
      </c>
      <c r="Q221" s="150">
        <f t="shared" si="140"/>
        <v>0</v>
      </c>
      <c r="R221" s="150">
        <f t="shared" si="188"/>
        <v>0</v>
      </c>
      <c r="S221" s="150">
        <f t="shared" si="141"/>
        <v>0</v>
      </c>
      <c r="T221" s="150">
        <f t="shared" si="142"/>
        <v>0</v>
      </c>
      <c r="U221" s="150">
        <f t="shared" si="143"/>
        <v>0</v>
      </c>
      <c r="V221" s="150">
        <f t="shared" si="144"/>
        <v>0</v>
      </c>
      <c r="W221" s="150">
        <f t="shared" si="189"/>
        <v>0</v>
      </c>
      <c r="X221" s="150">
        <f t="shared" si="145"/>
        <v>0</v>
      </c>
      <c r="Y221" s="150">
        <f t="shared" si="146"/>
        <v>0</v>
      </c>
      <c r="Z221" s="150">
        <f t="shared" si="147"/>
        <v>0</v>
      </c>
      <c r="AA221" s="150">
        <f t="shared" si="148"/>
        <v>0</v>
      </c>
      <c r="AB221" s="150">
        <f t="shared" si="190"/>
        <v>96570</v>
      </c>
      <c r="AC221" s="150">
        <f t="shared" si="149"/>
        <v>482.85</v>
      </c>
      <c r="AD221" s="150">
        <f t="shared" si="150"/>
        <v>0</v>
      </c>
      <c r="AE221" s="150">
        <f t="shared" si="151"/>
        <v>970</v>
      </c>
      <c r="AF221" s="150">
        <f t="shared" si="152"/>
        <v>95600</v>
      </c>
      <c r="AG221" s="150">
        <f t="shared" si="191"/>
        <v>0</v>
      </c>
      <c r="AH221" s="150">
        <f t="shared" si="153"/>
        <v>0</v>
      </c>
      <c r="AI221" s="150">
        <f t="shared" si="154"/>
        <v>0</v>
      </c>
      <c r="AJ221" s="150">
        <f t="shared" si="155"/>
        <v>0</v>
      </c>
      <c r="AK221" s="150">
        <f t="shared" si="156"/>
        <v>0</v>
      </c>
      <c r="AL221" s="150">
        <f t="shared" si="192"/>
        <v>0</v>
      </c>
      <c r="AM221" s="150">
        <f t="shared" si="157"/>
        <v>0</v>
      </c>
      <c r="AN221" s="150">
        <f t="shared" si="158"/>
        <v>0</v>
      </c>
      <c r="AO221" s="150">
        <f t="shared" si="159"/>
        <v>0</v>
      </c>
      <c r="AP221" s="150">
        <f t="shared" si="160"/>
        <v>0</v>
      </c>
      <c r="AQ221" s="149">
        <f t="shared" si="193"/>
        <v>970</v>
      </c>
      <c r="AR221" s="149">
        <f t="shared" si="194"/>
        <v>215522.6500000004</v>
      </c>
      <c r="AS221" s="133"/>
      <c r="AT221" s="152">
        <f t="shared" si="195"/>
        <v>169</v>
      </c>
      <c r="AU221" s="151">
        <f t="shared" si="161"/>
        <v>50801</v>
      </c>
      <c r="AV221" s="150">
        <f t="shared" si="196"/>
        <v>0</v>
      </c>
      <c r="AW221" s="150">
        <f t="shared" si="162"/>
        <v>0</v>
      </c>
      <c r="AX221" s="150">
        <f t="shared" si="163"/>
        <v>0</v>
      </c>
      <c r="AY221" s="150">
        <f t="shared" si="164"/>
        <v>0</v>
      </c>
      <c r="AZ221" s="150">
        <f t="shared" si="165"/>
        <v>0</v>
      </c>
      <c r="BA221" s="150">
        <f t="shared" si="197"/>
        <v>0</v>
      </c>
      <c r="BB221" s="150">
        <f t="shared" si="166"/>
        <v>0</v>
      </c>
      <c r="BC221" s="150">
        <f t="shared" si="167"/>
        <v>0</v>
      </c>
      <c r="BD221" s="150">
        <f t="shared" si="168"/>
        <v>0</v>
      </c>
      <c r="BE221" s="150">
        <f t="shared" si="169"/>
        <v>0</v>
      </c>
      <c r="BF221" s="150">
        <f t="shared" si="198"/>
        <v>0</v>
      </c>
      <c r="BG221" s="150">
        <f t="shared" si="170"/>
        <v>0</v>
      </c>
      <c r="BH221" s="150">
        <f t="shared" si="171"/>
        <v>0</v>
      </c>
      <c r="BI221" s="150">
        <f t="shared" si="172"/>
        <v>0</v>
      </c>
      <c r="BJ221" s="150">
        <f t="shared" si="173"/>
        <v>0</v>
      </c>
      <c r="BK221" s="150">
        <f t="shared" si="199"/>
        <v>89240</v>
      </c>
      <c r="BL221" s="150">
        <f t="shared" si="174"/>
        <v>446.2</v>
      </c>
      <c r="BM221" s="150">
        <f t="shared" si="175"/>
        <v>0</v>
      </c>
      <c r="BN221" s="150">
        <f t="shared" si="176"/>
        <v>920</v>
      </c>
      <c r="BO221" s="150">
        <f t="shared" si="177"/>
        <v>88320</v>
      </c>
      <c r="BP221" s="150">
        <f t="shared" si="200"/>
        <v>12000</v>
      </c>
      <c r="BQ221" s="150">
        <f t="shared" si="178"/>
        <v>50</v>
      </c>
      <c r="BR221" s="150">
        <f t="shared" si="179"/>
        <v>0</v>
      </c>
      <c r="BS221" s="150">
        <f t="shared" si="180"/>
        <v>0</v>
      </c>
      <c r="BT221" s="150">
        <f t="shared" si="181"/>
        <v>12000</v>
      </c>
      <c r="BU221" s="150">
        <f t="shared" si="201"/>
        <v>0</v>
      </c>
      <c r="BV221" s="150">
        <f t="shared" si="182"/>
        <v>0</v>
      </c>
      <c r="BW221" s="150">
        <f t="shared" si="183"/>
        <v>0</v>
      </c>
      <c r="BX221" s="150">
        <f t="shared" si="184"/>
        <v>0</v>
      </c>
      <c r="BY221" s="150">
        <f t="shared" si="185"/>
        <v>0</v>
      </c>
      <c r="BZ221" s="147">
        <f t="shared" si="202"/>
        <v>920</v>
      </c>
      <c r="CA221" s="147">
        <f t="shared" si="203"/>
        <v>202655.11000000013</v>
      </c>
    </row>
    <row r="222" spans="11:79">
      <c r="K222" s="132">
        <f t="shared" si="186"/>
        <v>170</v>
      </c>
      <c r="L222" s="148">
        <f t="shared" si="136"/>
        <v>50829</v>
      </c>
      <c r="M222" s="131">
        <f t="shared" si="187"/>
        <v>0</v>
      </c>
      <c r="N222" s="131">
        <f t="shared" si="137"/>
        <v>0</v>
      </c>
      <c r="O222" s="131">
        <f t="shared" si="138"/>
        <v>0</v>
      </c>
      <c r="P222" s="131">
        <f t="shared" si="139"/>
        <v>0</v>
      </c>
      <c r="Q222" s="131">
        <f t="shared" si="140"/>
        <v>0</v>
      </c>
      <c r="R222" s="131">
        <f t="shared" si="188"/>
        <v>0</v>
      </c>
      <c r="S222" s="131">
        <f t="shared" si="141"/>
        <v>0</v>
      </c>
      <c r="T222" s="131">
        <f t="shared" si="142"/>
        <v>0</v>
      </c>
      <c r="U222" s="131">
        <f t="shared" si="143"/>
        <v>0</v>
      </c>
      <c r="V222" s="131">
        <f t="shared" si="144"/>
        <v>0</v>
      </c>
      <c r="W222" s="131">
        <f t="shared" si="189"/>
        <v>0</v>
      </c>
      <c r="X222" s="131">
        <f t="shared" si="145"/>
        <v>0</v>
      </c>
      <c r="Y222" s="131">
        <f t="shared" si="146"/>
        <v>0</v>
      </c>
      <c r="Z222" s="131">
        <f t="shared" si="147"/>
        <v>0</v>
      </c>
      <c r="AA222" s="131">
        <f t="shared" si="148"/>
        <v>0</v>
      </c>
      <c r="AB222" s="131">
        <f t="shared" si="190"/>
        <v>95600</v>
      </c>
      <c r="AC222" s="131">
        <f t="shared" si="149"/>
        <v>478</v>
      </c>
      <c r="AD222" s="131">
        <f t="shared" si="150"/>
        <v>0</v>
      </c>
      <c r="AE222" s="131">
        <f t="shared" si="151"/>
        <v>970</v>
      </c>
      <c r="AF222" s="131">
        <f t="shared" si="152"/>
        <v>94630</v>
      </c>
      <c r="AG222" s="131">
        <f t="shared" si="191"/>
        <v>0</v>
      </c>
      <c r="AH222" s="131">
        <f t="shared" si="153"/>
        <v>0</v>
      </c>
      <c r="AI222" s="131">
        <f t="shared" si="154"/>
        <v>0</v>
      </c>
      <c r="AJ222" s="131">
        <f t="shared" si="155"/>
        <v>0</v>
      </c>
      <c r="AK222" s="131">
        <f t="shared" si="156"/>
        <v>0</v>
      </c>
      <c r="AL222" s="131">
        <f t="shared" si="192"/>
        <v>0</v>
      </c>
      <c r="AM222" s="131">
        <f t="shared" si="157"/>
        <v>0</v>
      </c>
      <c r="AN222" s="131">
        <f t="shared" si="158"/>
        <v>0</v>
      </c>
      <c r="AO222" s="131">
        <f t="shared" si="159"/>
        <v>0</v>
      </c>
      <c r="AP222" s="131">
        <f t="shared" si="160"/>
        <v>0</v>
      </c>
      <c r="AQ222" s="149">
        <f t="shared" si="193"/>
        <v>970</v>
      </c>
      <c r="AR222" s="149">
        <f t="shared" si="194"/>
        <v>216000.6500000004</v>
      </c>
      <c r="AS222" s="133"/>
      <c r="AT222" s="132">
        <f t="shared" si="195"/>
        <v>170</v>
      </c>
      <c r="AU222" s="148">
        <f t="shared" si="161"/>
        <v>50829</v>
      </c>
      <c r="AV222" s="131">
        <f t="shared" si="196"/>
        <v>0</v>
      </c>
      <c r="AW222" s="131">
        <f t="shared" si="162"/>
        <v>0</v>
      </c>
      <c r="AX222" s="131">
        <f t="shared" si="163"/>
        <v>0</v>
      </c>
      <c r="AY222" s="131">
        <f t="shared" si="164"/>
        <v>0</v>
      </c>
      <c r="AZ222" s="131">
        <f t="shared" si="165"/>
        <v>0</v>
      </c>
      <c r="BA222" s="131">
        <f t="shared" si="197"/>
        <v>0</v>
      </c>
      <c r="BB222" s="131">
        <f t="shared" si="166"/>
        <v>0</v>
      </c>
      <c r="BC222" s="131">
        <f t="shared" si="167"/>
        <v>0</v>
      </c>
      <c r="BD222" s="131">
        <f t="shared" si="168"/>
        <v>0</v>
      </c>
      <c r="BE222" s="131">
        <f t="shared" si="169"/>
        <v>0</v>
      </c>
      <c r="BF222" s="131">
        <f t="shared" si="198"/>
        <v>0</v>
      </c>
      <c r="BG222" s="131">
        <f t="shared" si="170"/>
        <v>0</v>
      </c>
      <c r="BH222" s="131">
        <f t="shared" si="171"/>
        <v>0</v>
      </c>
      <c r="BI222" s="131">
        <f t="shared" si="172"/>
        <v>0</v>
      </c>
      <c r="BJ222" s="131">
        <f t="shared" si="173"/>
        <v>0</v>
      </c>
      <c r="BK222" s="131">
        <f t="shared" si="199"/>
        <v>88320</v>
      </c>
      <c r="BL222" s="131">
        <f t="shared" si="174"/>
        <v>441.6</v>
      </c>
      <c r="BM222" s="131">
        <f t="shared" si="175"/>
        <v>0</v>
      </c>
      <c r="BN222" s="131">
        <f t="shared" si="176"/>
        <v>920</v>
      </c>
      <c r="BO222" s="131">
        <f t="shared" si="177"/>
        <v>87400</v>
      </c>
      <c r="BP222" s="131">
        <f t="shared" si="200"/>
        <v>12000</v>
      </c>
      <c r="BQ222" s="131">
        <f t="shared" si="178"/>
        <v>50</v>
      </c>
      <c r="BR222" s="131">
        <f t="shared" si="179"/>
        <v>0</v>
      </c>
      <c r="BS222" s="131">
        <f t="shared" si="180"/>
        <v>0</v>
      </c>
      <c r="BT222" s="131">
        <f t="shared" si="181"/>
        <v>12000</v>
      </c>
      <c r="BU222" s="131">
        <f t="shared" si="201"/>
        <v>0</v>
      </c>
      <c r="BV222" s="131">
        <f t="shared" si="182"/>
        <v>0</v>
      </c>
      <c r="BW222" s="131">
        <f t="shared" si="183"/>
        <v>0</v>
      </c>
      <c r="BX222" s="131">
        <f t="shared" si="184"/>
        <v>0</v>
      </c>
      <c r="BY222" s="131">
        <f t="shared" si="185"/>
        <v>0</v>
      </c>
      <c r="BZ222" s="147">
        <f t="shared" si="202"/>
        <v>920</v>
      </c>
      <c r="CA222" s="147">
        <f t="shared" si="203"/>
        <v>203146.71000000014</v>
      </c>
    </row>
    <row r="223" spans="11:79">
      <c r="K223" s="152">
        <f t="shared" si="186"/>
        <v>171</v>
      </c>
      <c r="L223" s="151">
        <f t="shared" si="136"/>
        <v>50860</v>
      </c>
      <c r="M223" s="150">
        <f t="shared" si="187"/>
        <v>0</v>
      </c>
      <c r="N223" s="150">
        <f t="shared" si="137"/>
        <v>0</v>
      </c>
      <c r="O223" s="150">
        <f t="shared" si="138"/>
        <v>0</v>
      </c>
      <c r="P223" s="150">
        <f t="shared" si="139"/>
        <v>0</v>
      </c>
      <c r="Q223" s="150">
        <f t="shared" si="140"/>
        <v>0</v>
      </c>
      <c r="R223" s="150">
        <f t="shared" si="188"/>
        <v>0</v>
      </c>
      <c r="S223" s="150">
        <f t="shared" si="141"/>
        <v>0</v>
      </c>
      <c r="T223" s="150">
        <f t="shared" si="142"/>
        <v>0</v>
      </c>
      <c r="U223" s="150">
        <f t="shared" si="143"/>
        <v>0</v>
      </c>
      <c r="V223" s="150">
        <f t="shared" si="144"/>
        <v>0</v>
      </c>
      <c r="W223" s="150">
        <f t="shared" si="189"/>
        <v>0</v>
      </c>
      <c r="X223" s="150">
        <f t="shared" si="145"/>
        <v>0</v>
      </c>
      <c r="Y223" s="150">
        <f t="shared" si="146"/>
        <v>0</v>
      </c>
      <c r="Z223" s="150">
        <f t="shared" si="147"/>
        <v>0</v>
      </c>
      <c r="AA223" s="150">
        <f t="shared" si="148"/>
        <v>0</v>
      </c>
      <c r="AB223" s="150">
        <f t="shared" si="190"/>
        <v>94630</v>
      </c>
      <c r="AC223" s="150">
        <f t="shared" si="149"/>
        <v>473.15</v>
      </c>
      <c r="AD223" s="150">
        <f t="shared" si="150"/>
        <v>0</v>
      </c>
      <c r="AE223" s="150">
        <f t="shared" si="151"/>
        <v>970</v>
      </c>
      <c r="AF223" s="150">
        <f t="shared" si="152"/>
        <v>93660</v>
      </c>
      <c r="AG223" s="150">
        <f t="shared" si="191"/>
        <v>0</v>
      </c>
      <c r="AH223" s="150">
        <f t="shared" si="153"/>
        <v>0</v>
      </c>
      <c r="AI223" s="150">
        <f t="shared" si="154"/>
        <v>0</v>
      </c>
      <c r="AJ223" s="150">
        <f t="shared" si="155"/>
        <v>0</v>
      </c>
      <c r="AK223" s="150">
        <f t="shared" si="156"/>
        <v>0</v>
      </c>
      <c r="AL223" s="150">
        <f t="shared" si="192"/>
        <v>0</v>
      </c>
      <c r="AM223" s="150">
        <f t="shared" si="157"/>
        <v>0</v>
      </c>
      <c r="AN223" s="150">
        <f t="shared" si="158"/>
        <v>0</v>
      </c>
      <c r="AO223" s="150">
        <f t="shared" si="159"/>
        <v>0</v>
      </c>
      <c r="AP223" s="150">
        <f t="shared" si="160"/>
        <v>0</v>
      </c>
      <c r="AQ223" s="149">
        <f t="shared" si="193"/>
        <v>970</v>
      </c>
      <c r="AR223" s="149">
        <f t="shared" si="194"/>
        <v>216473.8000000004</v>
      </c>
      <c r="AS223" s="133"/>
      <c r="AT223" s="152">
        <f t="shared" si="195"/>
        <v>171</v>
      </c>
      <c r="AU223" s="151">
        <f t="shared" si="161"/>
        <v>50860</v>
      </c>
      <c r="AV223" s="150">
        <f t="shared" si="196"/>
        <v>0</v>
      </c>
      <c r="AW223" s="150">
        <f t="shared" si="162"/>
        <v>0</v>
      </c>
      <c r="AX223" s="150">
        <f t="shared" si="163"/>
        <v>0</v>
      </c>
      <c r="AY223" s="150">
        <f t="shared" si="164"/>
        <v>0</v>
      </c>
      <c r="AZ223" s="150">
        <f t="shared" si="165"/>
        <v>0</v>
      </c>
      <c r="BA223" s="150">
        <f t="shared" si="197"/>
        <v>0</v>
      </c>
      <c r="BB223" s="150">
        <f t="shared" si="166"/>
        <v>0</v>
      </c>
      <c r="BC223" s="150">
        <f t="shared" si="167"/>
        <v>0</v>
      </c>
      <c r="BD223" s="150">
        <f t="shared" si="168"/>
        <v>0</v>
      </c>
      <c r="BE223" s="150">
        <f t="shared" si="169"/>
        <v>0</v>
      </c>
      <c r="BF223" s="150">
        <f t="shared" si="198"/>
        <v>0</v>
      </c>
      <c r="BG223" s="150">
        <f t="shared" si="170"/>
        <v>0</v>
      </c>
      <c r="BH223" s="150">
        <f t="shared" si="171"/>
        <v>0</v>
      </c>
      <c r="BI223" s="150">
        <f t="shared" si="172"/>
        <v>0</v>
      </c>
      <c r="BJ223" s="150">
        <f t="shared" si="173"/>
        <v>0</v>
      </c>
      <c r="BK223" s="150">
        <f t="shared" si="199"/>
        <v>87400</v>
      </c>
      <c r="BL223" s="150">
        <f t="shared" si="174"/>
        <v>437</v>
      </c>
      <c r="BM223" s="150">
        <f t="shared" si="175"/>
        <v>0</v>
      </c>
      <c r="BN223" s="150">
        <f t="shared" si="176"/>
        <v>920</v>
      </c>
      <c r="BO223" s="150">
        <f t="shared" si="177"/>
        <v>86480</v>
      </c>
      <c r="BP223" s="150">
        <f t="shared" si="200"/>
        <v>12000</v>
      </c>
      <c r="BQ223" s="150">
        <f t="shared" si="178"/>
        <v>50</v>
      </c>
      <c r="BR223" s="150">
        <f t="shared" si="179"/>
        <v>0</v>
      </c>
      <c r="BS223" s="150">
        <f t="shared" si="180"/>
        <v>0</v>
      </c>
      <c r="BT223" s="150">
        <f t="shared" si="181"/>
        <v>12000</v>
      </c>
      <c r="BU223" s="150">
        <f t="shared" si="201"/>
        <v>0</v>
      </c>
      <c r="BV223" s="150">
        <f t="shared" si="182"/>
        <v>0</v>
      </c>
      <c r="BW223" s="150">
        <f t="shared" si="183"/>
        <v>0</v>
      </c>
      <c r="BX223" s="150">
        <f t="shared" si="184"/>
        <v>0</v>
      </c>
      <c r="BY223" s="150">
        <f t="shared" si="185"/>
        <v>0</v>
      </c>
      <c r="BZ223" s="147">
        <f t="shared" si="202"/>
        <v>920</v>
      </c>
      <c r="CA223" s="147">
        <f t="shared" si="203"/>
        <v>203633.71000000014</v>
      </c>
    </row>
    <row r="224" spans="11:79">
      <c r="K224" s="132">
        <f t="shared" si="186"/>
        <v>172</v>
      </c>
      <c r="L224" s="148">
        <f t="shared" si="136"/>
        <v>50890</v>
      </c>
      <c r="M224" s="131">
        <f t="shared" si="187"/>
        <v>0</v>
      </c>
      <c r="N224" s="131">
        <f t="shared" si="137"/>
        <v>0</v>
      </c>
      <c r="O224" s="131">
        <f t="shared" si="138"/>
        <v>0</v>
      </c>
      <c r="P224" s="131">
        <f t="shared" si="139"/>
        <v>0</v>
      </c>
      <c r="Q224" s="131">
        <f t="shared" si="140"/>
        <v>0</v>
      </c>
      <c r="R224" s="131">
        <f t="shared" si="188"/>
        <v>0</v>
      </c>
      <c r="S224" s="131">
        <f t="shared" si="141"/>
        <v>0</v>
      </c>
      <c r="T224" s="131">
        <f t="shared" si="142"/>
        <v>0</v>
      </c>
      <c r="U224" s="131">
        <f t="shared" si="143"/>
        <v>0</v>
      </c>
      <c r="V224" s="131">
        <f t="shared" si="144"/>
        <v>0</v>
      </c>
      <c r="W224" s="131">
        <f t="shared" si="189"/>
        <v>0</v>
      </c>
      <c r="X224" s="131">
        <f t="shared" si="145"/>
        <v>0</v>
      </c>
      <c r="Y224" s="131">
        <f t="shared" si="146"/>
        <v>0</v>
      </c>
      <c r="Z224" s="131">
        <f t="shared" si="147"/>
        <v>0</v>
      </c>
      <c r="AA224" s="131">
        <f t="shared" si="148"/>
        <v>0</v>
      </c>
      <c r="AB224" s="131">
        <f t="shared" si="190"/>
        <v>93660</v>
      </c>
      <c r="AC224" s="131">
        <f t="shared" si="149"/>
        <v>468.3</v>
      </c>
      <c r="AD224" s="131">
        <f t="shared" si="150"/>
        <v>0</v>
      </c>
      <c r="AE224" s="131">
        <f t="shared" si="151"/>
        <v>970</v>
      </c>
      <c r="AF224" s="131">
        <f t="shared" si="152"/>
        <v>92690</v>
      </c>
      <c r="AG224" s="131">
        <f t="shared" si="191"/>
        <v>0</v>
      </c>
      <c r="AH224" s="131">
        <f t="shared" si="153"/>
        <v>0</v>
      </c>
      <c r="AI224" s="131">
        <f t="shared" si="154"/>
        <v>0</v>
      </c>
      <c r="AJ224" s="131">
        <f t="shared" si="155"/>
        <v>0</v>
      </c>
      <c r="AK224" s="131">
        <f t="shared" si="156"/>
        <v>0</v>
      </c>
      <c r="AL224" s="131">
        <f t="shared" si="192"/>
        <v>0</v>
      </c>
      <c r="AM224" s="131">
        <f t="shared" si="157"/>
        <v>0</v>
      </c>
      <c r="AN224" s="131">
        <f t="shared" si="158"/>
        <v>0</v>
      </c>
      <c r="AO224" s="131">
        <f t="shared" si="159"/>
        <v>0</v>
      </c>
      <c r="AP224" s="131">
        <f t="shared" si="160"/>
        <v>0</v>
      </c>
      <c r="AQ224" s="149">
        <f t="shared" si="193"/>
        <v>970</v>
      </c>
      <c r="AR224" s="149">
        <f t="shared" si="194"/>
        <v>216942.10000000038</v>
      </c>
      <c r="AS224" s="133"/>
      <c r="AT224" s="132">
        <f t="shared" si="195"/>
        <v>172</v>
      </c>
      <c r="AU224" s="148">
        <f t="shared" si="161"/>
        <v>50890</v>
      </c>
      <c r="AV224" s="131">
        <f t="shared" si="196"/>
        <v>0</v>
      </c>
      <c r="AW224" s="131">
        <f t="shared" si="162"/>
        <v>0</v>
      </c>
      <c r="AX224" s="131">
        <f t="shared" si="163"/>
        <v>0</v>
      </c>
      <c r="AY224" s="131">
        <f t="shared" si="164"/>
        <v>0</v>
      </c>
      <c r="AZ224" s="131">
        <f t="shared" si="165"/>
        <v>0</v>
      </c>
      <c r="BA224" s="131">
        <f t="shared" si="197"/>
        <v>0</v>
      </c>
      <c r="BB224" s="131">
        <f t="shared" si="166"/>
        <v>0</v>
      </c>
      <c r="BC224" s="131">
        <f t="shared" si="167"/>
        <v>0</v>
      </c>
      <c r="BD224" s="131">
        <f t="shared" si="168"/>
        <v>0</v>
      </c>
      <c r="BE224" s="131">
        <f t="shared" si="169"/>
        <v>0</v>
      </c>
      <c r="BF224" s="131">
        <f t="shared" si="198"/>
        <v>0</v>
      </c>
      <c r="BG224" s="131">
        <f t="shared" si="170"/>
        <v>0</v>
      </c>
      <c r="BH224" s="131">
        <f t="shared" si="171"/>
        <v>0</v>
      </c>
      <c r="BI224" s="131">
        <f t="shared" si="172"/>
        <v>0</v>
      </c>
      <c r="BJ224" s="131">
        <f t="shared" si="173"/>
        <v>0</v>
      </c>
      <c r="BK224" s="131">
        <f t="shared" si="199"/>
        <v>86480</v>
      </c>
      <c r="BL224" s="131">
        <f t="shared" si="174"/>
        <v>432.4</v>
      </c>
      <c r="BM224" s="131">
        <f t="shared" si="175"/>
        <v>0</v>
      </c>
      <c r="BN224" s="131">
        <f t="shared" si="176"/>
        <v>920</v>
      </c>
      <c r="BO224" s="131">
        <f t="shared" si="177"/>
        <v>85560</v>
      </c>
      <c r="BP224" s="131">
        <f t="shared" si="200"/>
        <v>12000</v>
      </c>
      <c r="BQ224" s="131">
        <f t="shared" si="178"/>
        <v>50</v>
      </c>
      <c r="BR224" s="131">
        <f t="shared" si="179"/>
        <v>0</v>
      </c>
      <c r="BS224" s="131">
        <f t="shared" si="180"/>
        <v>0</v>
      </c>
      <c r="BT224" s="131">
        <f t="shared" si="181"/>
        <v>12000</v>
      </c>
      <c r="BU224" s="131">
        <f t="shared" si="201"/>
        <v>0</v>
      </c>
      <c r="BV224" s="131">
        <f t="shared" si="182"/>
        <v>0</v>
      </c>
      <c r="BW224" s="131">
        <f t="shared" si="183"/>
        <v>0</v>
      </c>
      <c r="BX224" s="131">
        <f t="shared" si="184"/>
        <v>0</v>
      </c>
      <c r="BY224" s="131">
        <f t="shared" si="185"/>
        <v>0</v>
      </c>
      <c r="BZ224" s="147">
        <f t="shared" si="202"/>
        <v>920</v>
      </c>
      <c r="CA224" s="147">
        <f t="shared" si="203"/>
        <v>204116.11000000013</v>
      </c>
    </row>
    <row r="225" spans="11:79">
      <c r="K225" s="152">
        <f t="shared" si="186"/>
        <v>173</v>
      </c>
      <c r="L225" s="151">
        <f t="shared" si="136"/>
        <v>50921</v>
      </c>
      <c r="M225" s="150">
        <f t="shared" si="187"/>
        <v>0</v>
      </c>
      <c r="N225" s="150">
        <f t="shared" si="137"/>
        <v>0</v>
      </c>
      <c r="O225" s="150">
        <f t="shared" si="138"/>
        <v>0</v>
      </c>
      <c r="P225" s="150">
        <f t="shared" si="139"/>
        <v>0</v>
      </c>
      <c r="Q225" s="150">
        <f t="shared" si="140"/>
        <v>0</v>
      </c>
      <c r="R225" s="150">
        <f t="shared" si="188"/>
        <v>0</v>
      </c>
      <c r="S225" s="150">
        <f t="shared" si="141"/>
        <v>0</v>
      </c>
      <c r="T225" s="150">
        <f t="shared" si="142"/>
        <v>0</v>
      </c>
      <c r="U225" s="150">
        <f t="shared" si="143"/>
        <v>0</v>
      </c>
      <c r="V225" s="150">
        <f t="shared" si="144"/>
        <v>0</v>
      </c>
      <c r="W225" s="150">
        <f t="shared" si="189"/>
        <v>0</v>
      </c>
      <c r="X225" s="150">
        <f t="shared" si="145"/>
        <v>0</v>
      </c>
      <c r="Y225" s="150">
        <f t="shared" si="146"/>
        <v>0</v>
      </c>
      <c r="Z225" s="150">
        <f t="shared" si="147"/>
        <v>0</v>
      </c>
      <c r="AA225" s="150">
        <f t="shared" si="148"/>
        <v>0</v>
      </c>
      <c r="AB225" s="150">
        <f t="shared" si="190"/>
        <v>92690</v>
      </c>
      <c r="AC225" s="150">
        <f t="shared" si="149"/>
        <v>463.45</v>
      </c>
      <c r="AD225" s="150">
        <f t="shared" si="150"/>
        <v>0</v>
      </c>
      <c r="AE225" s="150">
        <f t="shared" si="151"/>
        <v>970</v>
      </c>
      <c r="AF225" s="150">
        <f t="shared" si="152"/>
        <v>91720</v>
      </c>
      <c r="AG225" s="150">
        <f t="shared" si="191"/>
        <v>0</v>
      </c>
      <c r="AH225" s="150">
        <f t="shared" si="153"/>
        <v>0</v>
      </c>
      <c r="AI225" s="150">
        <f t="shared" si="154"/>
        <v>0</v>
      </c>
      <c r="AJ225" s="150">
        <f t="shared" si="155"/>
        <v>0</v>
      </c>
      <c r="AK225" s="150">
        <f t="shared" si="156"/>
        <v>0</v>
      </c>
      <c r="AL225" s="150">
        <f t="shared" si="192"/>
        <v>0</v>
      </c>
      <c r="AM225" s="150">
        <f t="shared" si="157"/>
        <v>0</v>
      </c>
      <c r="AN225" s="150">
        <f t="shared" si="158"/>
        <v>0</v>
      </c>
      <c r="AO225" s="150">
        <f t="shared" si="159"/>
        <v>0</v>
      </c>
      <c r="AP225" s="150">
        <f t="shared" si="160"/>
        <v>0</v>
      </c>
      <c r="AQ225" s="149">
        <f t="shared" si="193"/>
        <v>970</v>
      </c>
      <c r="AR225" s="149">
        <f t="shared" si="194"/>
        <v>217405.5500000004</v>
      </c>
      <c r="AS225" s="133"/>
      <c r="AT225" s="152">
        <f t="shared" si="195"/>
        <v>173</v>
      </c>
      <c r="AU225" s="151">
        <f t="shared" si="161"/>
        <v>50921</v>
      </c>
      <c r="AV225" s="150">
        <f t="shared" si="196"/>
        <v>0</v>
      </c>
      <c r="AW225" s="150">
        <f t="shared" si="162"/>
        <v>0</v>
      </c>
      <c r="AX225" s="150">
        <f t="shared" si="163"/>
        <v>0</v>
      </c>
      <c r="AY225" s="150">
        <f t="shared" si="164"/>
        <v>0</v>
      </c>
      <c r="AZ225" s="150">
        <f t="shared" si="165"/>
        <v>0</v>
      </c>
      <c r="BA225" s="150">
        <f t="shared" si="197"/>
        <v>0</v>
      </c>
      <c r="BB225" s="150">
        <f t="shared" si="166"/>
        <v>0</v>
      </c>
      <c r="BC225" s="150">
        <f t="shared" si="167"/>
        <v>0</v>
      </c>
      <c r="BD225" s="150">
        <f t="shared" si="168"/>
        <v>0</v>
      </c>
      <c r="BE225" s="150">
        <f t="shared" si="169"/>
        <v>0</v>
      </c>
      <c r="BF225" s="150">
        <f t="shared" si="198"/>
        <v>0</v>
      </c>
      <c r="BG225" s="150">
        <f t="shared" si="170"/>
        <v>0</v>
      </c>
      <c r="BH225" s="150">
        <f t="shared" si="171"/>
        <v>0</v>
      </c>
      <c r="BI225" s="150">
        <f t="shared" si="172"/>
        <v>0</v>
      </c>
      <c r="BJ225" s="150">
        <f t="shared" si="173"/>
        <v>0</v>
      </c>
      <c r="BK225" s="150">
        <f t="shared" si="199"/>
        <v>85560</v>
      </c>
      <c r="BL225" s="150">
        <f t="shared" si="174"/>
        <v>427.8</v>
      </c>
      <c r="BM225" s="150">
        <f t="shared" si="175"/>
        <v>0</v>
      </c>
      <c r="BN225" s="150">
        <f t="shared" si="176"/>
        <v>920</v>
      </c>
      <c r="BO225" s="150">
        <f t="shared" si="177"/>
        <v>84640</v>
      </c>
      <c r="BP225" s="150">
        <f t="shared" si="200"/>
        <v>12000</v>
      </c>
      <c r="BQ225" s="150">
        <f t="shared" si="178"/>
        <v>50</v>
      </c>
      <c r="BR225" s="150">
        <f t="shared" si="179"/>
        <v>0</v>
      </c>
      <c r="BS225" s="150">
        <f t="shared" si="180"/>
        <v>0</v>
      </c>
      <c r="BT225" s="150">
        <f t="shared" si="181"/>
        <v>12000</v>
      </c>
      <c r="BU225" s="150">
        <f t="shared" si="201"/>
        <v>0</v>
      </c>
      <c r="BV225" s="150">
        <f t="shared" si="182"/>
        <v>0</v>
      </c>
      <c r="BW225" s="150">
        <f t="shared" si="183"/>
        <v>0</v>
      </c>
      <c r="BX225" s="150">
        <f t="shared" si="184"/>
        <v>0</v>
      </c>
      <c r="BY225" s="150">
        <f t="shared" si="185"/>
        <v>0</v>
      </c>
      <c r="BZ225" s="147">
        <f t="shared" si="202"/>
        <v>920</v>
      </c>
      <c r="CA225" s="147">
        <f t="shared" si="203"/>
        <v>204593.91000000012</v>
      </c>
    </row>
    <row r="226" spans="11:79">
      <c r="K226" s="132">
        <f t="shared" si="186"/>
        <v>174</v>
      </c>
      <c r="L226" s="148">
        <f t="shared" si="136"/>
        <v>50951</v>
      </c>
      <c r="M226" s="131">
        <f t="shared" si="187"/>
        <v>0</v>
      </c>
      <c r="N226" s="131">
        <f t="shared" si="137"/>
        <v>0</v>
      </c>
      <c r="O226" s="131">
        <f t="shared" si="138"/>
        <v>0</v>
      </c>
      <c r="P226" s="131">
        <f t="shared" si="139"/>
        <v>0</v>
      </c>
      <c r="Q226" s="131">
        <f t="shared" si="140"/>
        <v>0</v>
      </c>
      <c r="R226" s="131">
        <f t="shared" si="188"/>
        <v>0</v>
      </c>
      <c r="S226" s="131">
        <f t="shared" si="141"/>
        <v>0</v>
      </c>
      <c r="T226" s="131">
        <f t="shared" si="142"/>
        <v>0</v>
      </c>
      <c r="U226" s="131">
        <f t="shared" si="143"/>
        <v>0</v>
      </c>
      <c r="V226" s="131">
        <f t="shared" si="144"/>
        <v>0</v>
      </c>
      <c r="W226" s="131">
        <f t="shared" si="189"/>
        <v>0</v>
      </c>
      <c r="X226" s="131">
        <f t="shared" si="145"/>
        <v>0</v>
      </c>
      <c r="Y226" s="131">
        <f t="shared" si="146"/>
        <v>0</v>
      </c>
      <c r="Z226" s="131">
        <f t="shared" si="147"/>
        <v>0</v>
      </c>
      <c r="AA226" s="131">
        <f t="shared" si="148"/>
        <v>0</v>
      </c>
      <c r="AB226" s="131">
        <f t="shared" si="190"/>
        <v>91720</v>
      </c>
      <c r="AC226" s="131">
        <f t="shared" si="149"/>
        <v>458.6</v>
      </c>
      <c r="AD226" s="131">
        <f t="shared" si="150"/>
        <v>0</v>
      </c>
      <c r="AE226" s="131">
        <f t="shared" si="151"/>
        <v>970</v>
      </c>
      <c r="AF226" s="131">
        <f t="shared" si="152"/>
        <v>90750</v>
      </c>
      <c r="AG226" s="131">
        <f t="shared" si="191"/>
        <v>0</v>
      </c>
      <c r="AH226" s="131">
        <f t="shared" si="153"/>
        <v>0</v>
      </c>
      <c r="AI226" s="131">
        <f t="shared" si="154"/>
        <v>0</v>
      </c>
      <c r="AJ226" s="131">
        <f t="shared" si="155"/>
        <v>0</v>
      </c>
      <c r="AK226" s="131">
        <f t="shared" si="156"/>
        <v>0</v>
      </c>
      <c r="AL226" s="131">
        <f t="shared" si="192"/>
        <v>0</v>
      </c>
      <c r="AM226" s="131">
        <f t="shared" si="157"/>
        <v>0</v>
      </c>
      <c r="AN226" s="131">
        <f t="shared" si="158"/>
        <v>0</v>
      </c>
      <c r="AO226" s="131">
        <f t="shared" si="159"/>
        <v>0</v>
      </c>
      <c r="AP226" s="131">
        <f t="shared" si="160"/>
        <v>0</v>
      </c>
      <c r="AQ226" s="149">
        <f t="shared" si="193"/>
        <v>970</v>
      </c>
      <c r="AR226" s="149">
        <f t="shared" si="194"/>
        <v>217864.1500000004</v>
      </c>
      <c r="AS226" s="133"/>
      <c r="AT226" s="132">
        <f t="shared" si="195"/>
        <v>174</v>
      </c>
      <c r="AU226" s="148">
        <f t="shared" si="161"/>
        <v>50951</v>
      </c>
      <c r="AV226" s="131">
        <f t="shared" si="196"/>
        <v>0</v>
      </c>
      <c r="AW226" s="131">
        <f t="shared" si="162"/>
        <v>0</v>
      </c>
      <c r="AX226" s="131">
        <f t="shared" si="163"/>
        <v>0</v>
      </c>
      <c r="AY226" s="131">
        <f t="shared" si="164"/>
        <v>0</v>
      </c>
      <c r="AZ226" s="131">
        <f t="shared" si="165"/>
        <v>0</v>
      </c>
      <c r="BA226" s="131">
        <f t="shared" si="197"/>
        <v>0</v>
      </c>
      <c r="BB226" s="131">
        <f t="shared" si="166"/>
        <v>0</v>
      </c>
      <c r="BC226" s="131">
        <f t="shared" si="167"/>
        <v>0</v>
      </c>
      <c r="BD226" s="131">
        <f t="shared" si="168"/>
        <v>0</v>
      </c>
      <c r="BE226" s="131">
        <f t="shared" si="169"/>
        <v>0</v>
      </c>
      <c r="BF226" s="131">
        <f t="shared" si="198"/>
        <v>0</v>
      </c>
      <c r="BG226" s="131">
        <f t="shared" si="170"/>
        <v>0</v>
      </c>
      <c r="BH226" s="131">
        <f t="shared" si="171"/>
        <v>0</v>
      </c>
      <c r="BI226" s="131">
        <f t="shared" si="172"/>
        <v>0</v>
      </c>
      <c r="BJ226" s="131">
        <f t="shared" si="173"/>
        <v>0</v>
      </c>
      <c r="BK226" s="131">
        <f t="shared" si="199"/>
        <v>84640</v>
      </c>
      <c r="BL226" s="131">
        <f t="shared" si="174"/>
        <v>423.2</v>
      </c>
      <c r="BM226" s="131">
        <f t="shared" si="175"/>
        <v>0</v>
      </c>
      <c r="BN226" s="131">
        <f t="shared" si="176"/>
        <v>920</v>
      </c>
      <c r="BO226" s="131">
        <f t="shared" si="177"/>
        <v>83720</v>
      </c>
      <c r="BP226" s="131">
        <f t="shared" si="200"/>
        <v>12000</v>
      </c>
      <c r="BQ226" s="131">
        <f t="shared" si="178"/>
        <v>50</v>
      </c>
      <c r="BR226" s="131">
        <f t="shared" si="179"/>
        <v>0</v>
      </c>
      <c r="BS226" s="131">
        <f t="shared" si="180"/>
        <v>0</v>
      </c>
      <c r="BT226" s="131">
        <f t="shared" si="181"/>
        <v>12000</v>
      </c>
      <c r="BU226" s="131">
        <f t="shared" si="201"/>
        <v>0</v>
      </c>
      <c r="BV226" s="131">
        <f t="shared" si="182"/>
        <v>0</v>
      </c>
      <c r="BW226" s="131">
        <f t="shared" si="183"/>
        <v>0</v>
      </c>
      <c r="BX226" s="131">
        <f t="shared" si="184"/>
        <v>0</v>
      </c>
      <c r="BY226" s="131">
        <f t="shared" si="185"/>
        <v>0</v>
      </c>
      <c r="BZ226" s="147">
        <f t="shared" si="202"/>
        <v>920</v>
      </c>
      <c r="CA226" s="147">
        <f t="shared" si="203"/>
        <v>205067.11000000013</v>
      </c>
    </row>
    <row r="227" spans="11:79">
      <c r="K227" s="152">
        <f t="shared" si="186"/>
        <v>175</v>
      </c>
      <c r="L227" s="151">
        <f t="shared" si="136"/>
        <v>50982</v>
      </c>
      <c r="M227" s="150">
        <f t="shared" si="187"/>
        <v>0</v>
      </c>
      <c r="N227" s="150">
        <f t="shared" si="137"/>
        <v>0</v>
      </c>
      <c r="O227" s="150">
        <f t="shared" si="138"/>
        <v>0</v>
      </c>
      <c r="P227" s="150">
        <f t="shared" si="139"/>
        <v>0</v>
      </c>
      <c r="Q227" s="150">
        <f t="shared" si="140"/>
        <v>0</v>
      </c>
      <c r="R227" s="150">
        <f t="shared" si="188"/>
        <v>0</v>
      </c>
      <c r="S227" s="150">
        <f t="shared" si="141"/>
        <v>0</v>
      </c>
      <c r="T227" s="150">
        <f t="shared" si="142"/>
        <v>0</v>
      </c>
      <c r="U227" s="150">
        <f t="shared" si="143"/>
        <v>0</v>
      </c>
      <c r="V227" s="150">
        <f t="shared" si="144"/>
        <v>0</v>
      </c>
      <c r="W227" s="150">
        <f t="shared" si="189"/>
        <v>0</v>
      </c>
      <c r="X227" s="150">
        <f t="shared" si="145"/>
        <v>0</v>
      </c>
      <c r="Y227" s="150">
        <f t="shared" si="146"/>
        <v>0</v>
      </c>
      <c r="Z227" s="150">
        <f t="shared" si="147"/>
        <v>0</v>
      </c>
      <c r="AA227" s="150">
        <f t="shared" si="148"/>
        <v>0</v>
      </c>
      <c r="AB227" s="150">
        <f t="shared" si="190"/>
        <v>90750</v>
      </c>
      <c r="AC227" s="150">
        <f t="shared" si="149"/>
        <v>453.75</v>
      </c>
      <c r="AD227" s="150">
        <f t="shared" si="150"/>
        <v>0</v>
      </c>
      <c r="AE227" s="150">
        <f t="shared" si="151"/>
        <v>970</v>
      </c>
      <c r="AF227" s="150">
        <f t="shared" si="152"/>
        <v>89780</v>
      </c>
      <c r="AG227" s="150">
        <f t="shared" si="191"/>
        <v>0</v>
      </c>
      <c r="AH227" s="150">
        <f t="shared" si="153"/>
        <v>0</v>
      </c>
      <c r="AI227" s="150">
        <f t="shared" si="154"/>
        <v>0</v>
      </c>
      <c r="AJ227" s="150">
        <f t="shared" si="155"/>
        <v>0</v>
      </c>
      <c r="AK227" s="150">
        <f t="shared" si="156"/>
        <v>0</v>
      </c>
      <c r="AL227" s="150">
        <f t="shared" si="192"/>
        <v>0</v>
      </c>
      <c r="AM227" s="150">
        <f t="shared" si="157"/>
        <v>0</v>
      </c>
      <c r="AN227" s="150">
        <f t="shared" si="158"/>
        <v>0</v>
      </c>
      <c r="AO227" s="150">
        <f t="shared" si="159"/>
        <v>0</v>
      </c>
      <c r="AP227" s="150">
        <f t="shared" si="160"/>
        <v>0</v>
      </c>
      <c r="AQ227" s="149">
        <f t="shared" si="193"/>
        <v>970</v>
      </c>
      <c r="AR227" s="149">
        <f t="shared" si="194"/>
        <v>218317.9000000004</v>
      </c>
      <c r="AS227" s="133"/>
      <c r="AT227" s="152">
        <f t="shared" si="195"/>
        <v>175</v>
      </c>
      <c r="AU227" s="151">
        <f t="shared" si="161"/>
        <v>50982</v>
      </c>
      <c r="AV227" s="150">
        <f t="shared" si="196"/>
        <v>0</v>
      </c>
      <c r="AW227" s="150">
        <f t="shared" si="162"/>
        <v>0</v>
      </c>
      <c r="AX227" s="150">
        <f t="shared" si="163"/>
        <v>0</v>
      </c>
      <c r="AY227" s="150">
        <f t="shared" si="164"/>
        <v>0</v>
      </c>
      <c r="AZ227" s="150">
        <f t="shared" si="165"/>
        <v>0</v>
      </c>
      <c r="BA227" s="150">
        <f t="shared" si="197"/>
        <v>0</v>
      </c>
      <c r="BB227" s="150">
        <f t="shared" si="166"/>
        <v>0</v>
      </c>
      <c r="BC227" s="150">
        <f t="shared" si="167"/>
        <v>0</v>
      </c>
      <c r="BD227" s="150">
        <f t="shared" si="168"/>
        <v>0</v>
      </c>
      <c r="BE227" s="150">
        <f t="shared" si="169"/>
        <v>0</v>
      </c>
      <c r="BF227" s="150">
        <f t="shared" si="198"/>
        <v>0</v>
      </c>
      <c r="BG227" s="150">
        <f t="shared" si="170"/>
        <v>0</v>
      </c>
      <c r="BH227" s="150">
        <f t="shared" si="171"/>
        <v>0</v>
      </c>
      <c r="BI227" s="150">
        <f t="shared" si="172"/>
        <v>0</v>
      </c>
      <c r="BJ227" s="150">
        <f t="shared" si="173"/>
        <v>0</v>
      </c>
      <c r="BK227" s="150">
        <f t="shared" si="199"/>
        <v>83720</v>
      </c>
      <c r="BL227" s="150">
        <f t="shared" si="174"/>
        <v>418.6</v>
      </c>
      <c r="BM227" s="150">
        <f t="shared" si="175"/>
        <v>0</v>
      </c>
      <c r="BN227" s="150">
        <f t="shared" si="176"/>
        <v>920</v>
      </c>
      <c r="BO227" s="150">
        <f t="shared" si="177"/>
        <v>82800</v>
      </c>
      <c r="BP227" s="150">
        <f t="shared" si="200"/>
        <v>12000</v>
      </c>
      <c r="BQ227" s="150">
        <f t="shared" si="178"/>
        <v>50</v>
      </c>
      <c r="BR227" s="150">
        <f t="shared" si="179"/>
        <v>0</v>
      </c>
      <c r="BS227" s="150">
        <f t="shared" si="180"/>
        <v>0</v>
      </c>
      <c r="BT227" s="150">
        <f t="shared" si="181"/>
        <v>12000</v>
      </c>
      <c r="BU227" s="150">
        <f t="shared" si="201"/>
        <v>0</v>
      </c>
      <c r="BV227" s="150">
        <f t="shared" si="182"/>
        <v>0</v>
      </c>
      <c r="BW227" s="150">
        <f t="shared" si="183"/>
        <v>0</v>
      </c>
      <c r="BX227" s="150">
        <f t="shared" si="184"/>
        <v>0</v>
      </c>
      <c r="BY227" s="150">
        <f t="shared" si="185"/>
        <v>0</v>
      </c>
      <c r="BZ227" s="147">
        <f t="shared" si="202"/>
        <v>920</v>
      </c>
      <c r="CA227" s="147">
        <f t="shared" si="203"/>
        <v>205535.71000000014</v>
      </c>
    </row>
    <row r="228" spans="11:79">
      <c r="K228" s="132">
        <f t="shared" si="186"/>
        <v>176</v>
      </c>
      <c r="L228" s="148">
        <f t="shared" si="136"/>
        <v>51013</v>
      </c>
      <c r="M228" s="131">
        <f t="shared" si="187"/>
        <v>0</v>
      </c>
      <c r="N228" s="131">
        <f t="shared" si="137"/>
        <v>0</v>
      </c>
      <c r="O228" s="131">
        <f t="shared" si="138"/>
        <v>0</v>
      </c>
      <c r="P228" s="131">
        <f t="shared" si="139"/>
        <v>0</v>
      </c>
      <c r="Q228" s="131">
        <f t="shared" si="140"/>
        <v>0</v>
      </c>
      <c r="R228" s="131">
        <f t="shared" si="188"/>
        <v>0</v>
      </c>
      <c r="S228" s="131">
        <f t="shared" si="141"/>
        <v>0</v>
      </c>
      <c r="T228" s="131">
        <f t="shared" si="142"/>
        <v>0</v>
      </c>
      <c r="U228" s="131">
        <f t="shared" si="143"/>
        <v>0</v>
      </c>
      <c r="V228" s="131">
        <f t="shared" si="144"/>
        <v>0</v>
      </c>
      <c r="W228" s="131">
        <f t="shared" si="189"/>
        <v>0</v>
      </c>
      <c r="X228" s="131">
        <f t="shared" si="145"/>
        <v>0</v>
      </c>
      <c r="Y228" s="131">
        <f t="shared" si="146"/>
        <v>0</v>
      </c>
      <c r="Z228" s="131">
        <f t="shared" si="147"/>
        <v>0</v>
      </c>
      <c r="AA228" s="131">
        <f t="shared" si="148"/>
        <v>0</v>
      </c>
      <c r="AB228" s="131">
        <f t="shared" si="190"/>
        <v>89780</v>
      </c>
      <c r="AC228" s="131">
        <f t="shared" si="149"/>
        <v>448.9</v>
      </c>
      <c r="AD228" s="131">
        <f t="shared" si="150"/>
        <v>0</v>
      </c>
      <c r="AE228" s="131">
        <f t="shared" si="151"/>
        <v>970</v>
      </c>
      <c r="AF228" s="131">
        <f t="shared" si="152"/>
        <v>88810</v>
      </c>
      <c r="AG228" s="131">
        <f t="shared" si="191"/>
        <v>0</v>
      </c>
      <c r="AH228" s="131">
        <f t="shared" si="153"/>
        <v>0</v>
      </c>
      <c r="AI228" s="131">
        <f t="shared" si="154"/>
        <v>0</v>
      </c>
      <c r="AJ228" s="131">
        <f t="shared" si="155"/>
        <v>0</v>
      </c>
      <c r="AK228" s="131">
        <f t="shared" si="156"/>
        <v>0</v>
      </c>
      <c r="AL228" s="131">
        <f t="shared" si="192"/>
        <v>0</v>
      </c>
      <c r="AM228" s="131">
        <f t="shared" si="157"/>
        <v>0</v>
      </c>
      <c r="AN228" s="131">
        <f t="shared" si="158"/>
        <v>0</v>
      </c>
      <c r="AO228" s="131">
        <f t="shared" si="159"/>
        <v>0</v>
      </c>
      <c r="AP228" s="131">
        <f t="shared" si="160"/>
        <v>0</v>
      </c>
      <c r="AQ228" s="149">
        <f t="shared" si="193"/>
        <v>970</v>
      </c>
      <c r="AR228" s="149">
        <f t="shared" si="194"/>
        <v>218766.8000000004</v>
      </c>
      <c r="AS228" s="133"/>
      <c r="AT228" s="132">
        <f t="shared" si="195"/>
        <v>176</v>
      </c>
      <c r="AU228" s="148">
        <f t="shared" si="161"/>
        <v>51013</v>
      </c>
      <c r="AV228" s="131">
        <f t="shared" si="196"/>
        <v>0</v>
      </c>
      <c r="AW228" s="131">
        <f t="shared" si="162"/>
        <v>0</v>
      </c>
      <c r="AX228" s="131">
        <f t="shared" si="163"/>
        <v>0</v>
      </c>
      <c r="AY228" s="131">
        <f t="shared" si="164"/>
        <v>0</v>
      </c>
      <c r="AZ228" s="131">
        <f t="shared" si="165"/>
        <v>0</v>
      </c>
      <c r="BA228" s="131">
        <f t="shared" si="197"/>
        <v>0</v>
      </c>
      <c r="BB228" s="131">
        <f t="shared" si="166"/>
        <v>0</v>
      </c>
      <c r="BC228" s="131">
        <f t="shared" si="167"/>
        <v>0</v>
      </c>
      <c r="BD228" s="131">
        <f t="shared" si="168"/>
        <v>0</v>
      </c>
      <c r="BE228" s="131">
        <f t="shared" si="169"/>
        <v>0</v>
      </c>
      <c r="BF228" s="131">
        <f t="shared" si="198"/>
        <v>0</v>
      </c>
      <c r="BG228" s="131">
        <f t="shared" si="170"/>
        <v>0</v>
      </c>
      <c r="BH228" s="131">
        <f t="shared" si="171"/>
        <v>0</v>
      </c>
      <c r="BI228" s="131">
        <f t="shared" si="172"/>
        <v>0</v>
      </c>
      <c r="BJ228" s="131">
        <f t="shared" si="173"/>
        <v>0</v>
      </c>
      <c r="BK228" s="131">
        <f t="shared" si="199"/>
        <v>82800</v>
      </c>
      <c r="BL228" s="131">
        <f t="shared" si="174"/>
        <v>414</v>
      </c>
      <c r="BM228" s="131">
        <f t="shared" si="175"/>
        <v>0</v>
      </c>
      <c r="BN228" s="131">
        <f t="shared" si="176"/>
        <v>920</v>
      </c>
      <c r="BO228" s="131">
        <f t="shared" si="177"/>
        <v>81880</v>
      </c>
      <c r="BP228" s="131">
        <f t="shared" si="200"/>
        <v>12000</v>
      </c>
      <c r="BQ228" s="131">
        <f t="shared" si="178"/>
        <v>50</v>
      </c>
      <c r="BR228" s="131">
        <f t="shared" si="179"/>
        <v>0</v>
      </c>
      <c r="BS228" s="131">
        <f t="shared" si="180"/>
        <v>0</v>
      </c>
      <c r="BT228" s="131">
        <f t="shared" si="181"/>
        <v>12000</v>
      </c>
      <c r="BU228" s="131">
        <f t="shared" si="201"/>
        <v>0</v>
      </c>
      <c r="BV228" s="131">
        <f t="shared" si="182"/>
        <v>0</v>
      </c>
      <c r="BW228" s="131">
        <f t="shared" si="183"/>
        <v>0</v>
      </c>
      <c r="BX228" s="131">
        <f t="shared" si="184"/>
        <v>0</v>
      </c>
      <c r="BY228" s="131">
        <f t="shared" si="185"/>
        <v>0</v>
      </c>
      <c r="BZ228" s="147">
        <f t="shared" si="202"/>
        <v>920</v>
      </c>
      <c r="CA228" s="147">
        <f t="shared" si="203"/>
        <v>205999.71000000014</v>
      </c>
    </row>
    <row r="229" spans="11:79">
      <c r="K229" s="152">
        <f t="shared" si="186"/>
        <v>177</v>
      </c>
      <c r="L229" s="151">
        <f t="shared" si="136"/>
        <v>51043</v>
      </c>
      <c r="M229" s="150">
        <f t="shared" si="187"/>
        <v>0</v>
      </c>
      <c r="N229" s="150">
        <f t="shared" si="137"/>
        <v>0</v>
      </c>
      <c r="O229" s="150">
        <f t="shared" si="138"/>
        <v>0</v>
      </c>
      <c r="P229" s="150">
        <f t="shared" si="139"/>
        <v>0</v>
      </c>
      <c r="Q229" s="150">
        <f t="shared" si="140"/>
        <v>0</v>
      </c>
      <c r="R229" s="150">
        <f t="shared" si="188"/>
        <v>0</v>
      </c>
      <c r="S229" s="150">
        <f t="shared" si="141"/>
        <v>0</v>
      </c>
      <c r="T229" s="150">
        <f t="shared" si="142"/>
        <v>0</v>
      </c>
      <c r="U229" s="150">
        <f t="shared" si="143"/>
        <v>0</v>
      </c>
      <c r="V229" s="150">
        <f t="shared" si="144"/>
        <v>0</v>
      </c>
      <c r="W229" s="150">
        <f t="shared" si="189"/>
        <v>0</v>
      </c>
      <c r="X229" s="150">
        <f t="shared" si="145"/>
        <v>0</v>
      </c>
      <c r="Y229" s="150">
        <f t="shared" si="146"/>
        <v>0</v>
      </c>
      <c r="Z229" s="150">
        <f t="shared" si="147"/>
        <v>0</v>
      </c>
      <c r="AA229" s="150">
        <f t="shared" si="148"/>
        <v>0</v>
      </c>
      <c r="AB229" s="150">
        <f t="shared" si="190"/>
        <v>88810</v>
      </c>
      <c r="AC229" s="150">
        <f t="shared" si="149"/>
        <v>444.05</v>
      </c>
      <c r="AD229" s="150">
        <f t="shared" si="150"/>
        <v>0</v>
      </c>
      <c r="AE229" s="150">
        <f t="shared" si="151"/>
        <v>970</v>
      </c>
      <c r="AF229" s="150">
        <f t="shared" si="152"/>
        <v>87840</v>
      </c>
      <c r="AG229" s="150">
        <f t="shared" si="191"/>
        <v>0</v>
      </c>
      <c r="AH229" s="150">
        <f t="shared" si="153"/>
        <v>0</v>
      </c>
      <c r="AI229" s="150">
        <f t="shared" si="154"/>
        <v>0</v>
      </c>
      <c r="AJ229" s="150">
        <f t="shared" si="155"/>
        <v>0</v>
      </c>
      <c r="AK229" s="150">
        <f t="shared" si="156"/>
        <v>0</v>
      </c>
      <c r="AL229" s="150">
        <f t="shared" si="192"/>
        <v>0</v>
      </c>
      <c r="AM229" s="150">
        <f t="shared" si="157"/>
        <v>0</v>
      </c>
      <c r="AN229" s="150">
        <f t="shared" si="158"/>
        <v>0</v>
      </c>
      <c r="AO229" s="150">
        <f t="shared" si="159"/>
        <v>0</v>
      </c>
      <c r="AP229" s="150">
        <f t="shared" si="160"/>
        <v>0</v>
      </c>
      <c r="AQ229" s="149">
        <f t="shared" si="193"/>
        <v>970</v>
      </c>
      <c r="AR229" s="149">
        <f t="shared" si="194"/>
        <v>219210.85000000038</v>
      </c>
      <c r="AS229" s="133"/>
      <c r="AT229" s="152">
        <f t="shared" si="195"/>
        <v>177</v>
      </c>
      <c r="AU229" s="151">
        <f t="shared" si="161"/>
        <v>51043</v>
      </c>
      <c r="AV229" s="150">
        <f t="shared" si="196"/>
        <v>0</v>
      </c>
      <c r="AW229" s="150">
        <f t="shared" si="162"/>
        <v>0</v>
      </c>
      <c r="AX229" s="150">
        <f t="shared" si="163"/>
        <v>0</v>
      </c>
      <c r="AY229" s="150">
        <f t="shared" si="164"/>
        <v>0</v>
      </c>
      <c r="AZ229" s="150">
        <f t="shared" si="165"/>
        <v>0</v>
      </c>
      <c r="BA229" s="150">
        <f t="shared" si="197"/>
        <v>0</v>
      </c>
      <c r="BB229" s="150">
        <f t="shared" si="166"/>
        <v>0</v>
      </c>
      <c r="BC229" s="150">
        <f t="shared" si="167"/>
        <v>0</v>
      </c>
      <c r="BD229" s="150">
        <f t="shared" si="168"/>
        <v>0</v>
      </c>
      <c r="BE229" s="150">
        <f t="shared" si="169"/>
        <v>0</v>
      </c>
      <c r="BF229" s="150">
        <f t="shared" si="198"/>
        <v>0</v>
      </c>
      <c r="BG229" s="150">
        <f t="shared" si="170"/>
        <v>0</v>
      </c>
      <c r="BH229" s="150">
        <f t="shared" si="171"/>
        <v>0</v>
      </c>
      <c r="BI229" s="150">
        <f t="shared" si="172"/>
        <v>0</v>
      </c>
      <c r="BJ229" s="150">
        <f t="shared" si="173"/>
        <v>0</v>
      </c>
      <c r="BK229" s="150">
        <f t="shared" si="199"/>
        <v>81880</v>
      </c>
      <c r="BL229" s="150">
        <f t="shared" si="174"/>
        <v>409.4</v>
      </c>
      <c r="BM229" s="150">
        <f t="shared" si="175"/>
        <v>0</v>
      </c>
      <c r="BN229" s="150">
        <f t="shared" si="176"/>
        <v>920</v>
      </c>
      <c r="BO229" s="150">
        <f t="shared" si="177"/>
        <v>80960</v>
      </c>
      <c r="BP229" s="150">
        <f t="shared" si="200"/>
        <v>12000</v>
      </c>
      <c r="BQ229" s="150">
        <f t="shared" si="178"/>
        <v>50</v>
      </c>
      <c r="BR229" s="150">
        <f t="shared" si="179"/>
        <v>0</v>
      </c>
      <c r="BS229" s="150">
        <f t="shared" si="180"/>
        <v>0</v>
      </c>
      <c r="BT229" s="150">
        <f t="shared" si="181"/>
        <v>12000</v>
      </c>
      <c r="BU229" s="150">
        <f t="shared" si="201"/>
        <v>0</v>
      </c>
      <c r="BV229" s="150">
        <f t="shared" si="182"/>
        <v>0</v>
      </c>
      <c r="BW229" s="150">
        <f t="shared" si="183"/>
        <v>0</v>
      </c>
      <c r="BX229" s="150">
        <f t="shared" si="184"/>
        <v>0</v>
      </c>
      <c r="BY229" s="150">
        <f t="shared" si="185"/>
        <v>0</v>
      </c>
      <c r="BZ229" s="147">
        <f t="shared" si="202"/>
        <v>920</v>
      </c>
      <c r="CA229" s="147">
        <f t="shared" si="203"/>
        <v>206459.11000000013</v>
      </c>
    </row>
    <row r="230" spans="11:79">
      <c r="K230" s="132">
        <f t="shared" si="186"/>
        <v>178</v>
      </c>
      <c r="L230" s="148">
        <f t="shared" si="136"/>
        <v>51074</v>
      </c>
      <c r="M230" s="131">
        <f t="shared" si="187"/>
        <v>0</v>
      </c>
      <c r="N230" s="131">
        <f t="shared" si="137"/>
        <v>0</v>
      </c>
      <c r="O230" s="131">
        <f t="shared" si="138"/>
        <v>0</v>
      </c>
      <c r="P230" s="131">
        <f t="shared" si="139"/>
        <v>0</v>
      </c>
      <c r="Q230" s="131">
        <f t="shared" si="140"/>
        <v>0</v>
      </c>
      <c r="R230" s="131">
        <f t="shared" si="188"/>
        <v>0</v>
      </c>
      <c r="S230" s="131">
        <f t="shared" si="141"/>
        <v>0</v>
      </c>
      <c r="T230" s="131">
        <f t="shared" si="142"/>
        <v>0</v>
      </c>
      <c r="U230" s="131">
        <f t="shared" si="143"/>
        <v>0</v>
      </c>
      <c r="V230" s="131">
        <f t="shared" si="144"/>
        <v>0</v>
      </c>
      <c r="W230" s="131">
        <f t="shared" si="189"/>
        <v>0</v>
      </c>
      <c r="X230" s="131">
        <f t="shared" si="145"/>
        <v>0</v>
      </c>
      <c r="Y230" s="131">
        <f t="shared" si="146"/>
        <v>0</v>
      </c>
      <c r="Z230" s="131">
        <f t="shared" si="147"/>
        <v>0</v>
      </c>
      <c r="AA230" s="131">
        <f t="shared" si="148"/>
        <v>0</v>
      </c>
      <c r="AB230" s="131">
        <f t="shared" si="190"/>
        <v>87840</v>
      </c>
      <c r="AC230" s="131">
        <f t="shared" si="149"/>
        <v>439.2</v>
      </c>
      <c r="AD230" s="131">
        <f t="shared" si="150"/>
        <v>0</v>
      </c>
      <c r="AE230" s="131">
        <f t="shared" si="151"/>
        <v>970</v>
      </c>
      <c r="AF230" s="131">
        <f t="shared" si="152"/>
        <v>86870</v>
      </c>
      <c r="AG230" s="131">
        <f t="shared" si="191"/>
        <v>0</v>
      </c>
      <c r="AH230" s="131">
        <f t="shared" si="153"/>
        <v>0</v>
      </c>
      <c r="AI230" s="131">
        <f t="shared" si="154"/>
        <v>0</v>
      </c>
      <c r="AJ230" s="131">
        <f t="shared" si="155"/>
        <v>0</v>
      </c>
      <c r="AK230" s="131">
        <f t="shared" si="156"/>
        <v>0</v>
      </c>
      <c r="AL230" s="131">
        <f t="shared" si="192"/>
        <v>0</v>
      </c>
      <c r="AM230" s="131">
        <f t="shared" si="157"/>
        <v>0</v>
      </c>
      <c r="AN230" s="131">
        <f t="shared" si="158"/>
        <v>0</v>
      </c>
      <c r="AO230" s="131">
        <f t="shared" si="159"/>
        <v>0</v>
      </c>
      <c r="AP230" s="131">
        <f t="shared" si="160"/>
        <v>0</v>
      </c>
      <c r="AQ230" s="149">
        <f t="shared" si="193"/>
        <v>970</v>
      </c>
      <c r="AR230" s="149">
        <f t="shared" si="194"/>
        <v>219650.0500000004</v>
      </c>
      <c r="AS230" s="133"/>
      <c r="AT230" s="132">
        <f t="shared" si="195"/>
        <v>178</v>
      </c>
      <c r="AU230" s="148">
        <f t="shared" si="161"/>
        <v>51074</v>
      </c>
      <c r="AV230" s="131">
        <f t="shared" si="196"/>
        <v>0</v>
      </c>
      <c r="AW230" s="131">
        <f t="shared" si="162"/>
        <v>0</v>
      </c>
      <c r="AX230" s="131">
        <f t="shared" si="163"/>
        <v>0</v>
      </c>
      <c r="AY230" s="131">
        <f t="shared" si="164"/>
        <v>0</v>
      </c>
      <c r="AZ230" s="131">
        <f t="shared" si="165"/>
        <v>0</v>
      </c>
      <c r="BA230" s="131">
        <f t="shared" si="197"/>
        <v>0</v>
      </c>
      <c r="BB230" s="131">
        <f t="shared" si="166"/>
        <v>0</v>
      </c>
      <c r="BC230" s="131">
        <f t="shared" si="167"/>
        <v>0</v>
      </c>
      <c r="BD230" s="131">
        <f t="shared" si="168"/>
        <v>0</v>
      </c>
      <c r="BE230" s="131">
        <f t="shared" si="169"/>
        <v>0</v>
      </c>
      <c r="BF230" s="131">
        <f t="shared" si="198"/>
        <v>0</v>
      </c>
      <c r="BG230" s="131">
        <f t="shared" si="170"/>
        <v>0</v>
      </c>
      <c r="BH230" s="131">
        <f t="shared" si="171"/>
        <v>0</v>
      </c>
      <c r="BI230" s="131">
        <f t="shared" si="172"/>
        <v>0</v>
      </c>
      <c r="BJ230" s="131">
        <f t="shared" si="173"/>
        <v>0</v>
      </c>
      <c r="BK230" s="131">
        <f t="shared" si="199"/>
        <v>80960</v>
      </c>
      <c r="BL230" s="131">
        <f t="shared" si="174"/>
        <v>404.8</v>
      </c>
      <c r="BM230" s="131">
        <f t="shared" si="175"/>
        <v>0</v>
      </c>
      <c r="BN230" s="131">
        <f t="shared" si="176"/>
        <v>920</v>
      </c>
      <c r="BO230" s="131">
        <f t="shared" si="177"/>
        <v>80040</v>
      </c>
      <c r="BP230" s="131">
        <f t="shared" si="200"/>
        <v>12000</v>
      </c>
      <c r="BQ230" s="131">
        <f t="shared" si="178"/>
        <v>50</v>
      </c>
      <c r="BR230" s="131">
        <f t="shared" si="179"/>
        <v>0</v>
      </c>
      <c r="BS230" s="131">
        <f t="shared" si="180"/>
        <v>0</v>
      </c>
      <c r="BT230" s="131">
        <f t="shared" si="181"/>
        <v>12000</v>
      </c>
      <c r="BU230" s="131">
        <f t="shared" si="201"/>
        <v>0</v>
      </c>
      <c r="BV230" s="131">
        <f t="shared" si="182"/>
        <v>0</v>
      </c>
      <c r="BW230" s="131">
        <f t="shared" si="183"/>
        <v>0</v>
      </c>
      <c r="BX230" s="131">
        <f t="shared" si="184"/>
        <v>0</v>
      </c>
      <c r="BY230" s="131">
        <f t="shared" si="185"/>
        <v>0</v>
      </c>
      <c r="BZ230" s="147">
        <f t="shared" si="202"/>
        <v>920</v>
      </c>
      <c r="CA230" s="147">
        <f t="shared" si="203"/>
        <v>206913.91000000012</v>
      </c>
    </row>
    <row r="231" spans="11:79">
      <c r="K231" s="152">
        <f t="shared" si="186"/>
        <v>179</v>
      </c>
      <c r="L231" s="151">
        <f t="shared" si="136"/>
        <v>51104</v>
      </c>
      <c r="M231" s="150">
        <f t="shared" si="187"/>
        <v>0</v>
      </c>
      <c r="N231" s="150">
        <f t="shared" si="137"/>
        <v>0</v>
      </c>
      <c r="O231" s="150">
        <f t="shared" si="138"/>
        <v>0</v>
      </c>
      <c r="P231" s="150">
        <f t="shared" si="139"/>
        <v>0</v>
      </c>
      <c r="Q231" s="150">
        <f t="shared" si="140"/>
        <v>0</v>
      </c>
      <c r="R231" s="150">
        <f t="shared" si="188"/>
        <v>0</v>
      </c>
      <c r="S231" s="150">
        <f t="shared" si="141"/>
        <v>0</v>
      </c>
      <c r="T231" s="150">
        <f t="shared" si="142"/>
        <v>0</v>
      </c>
      <c r="U231" s="150">
        <f t="shared" si="143"/>
        <v>0</v>
      </c>
      <c r="V231" s="150">
        <f t="shared" si="144"/>
        <v>0</v>
      </c>
      <c r="W231" s="150">
        <f t="shared" si="189"/>
        <v>0</v>
      </c>
      <c r="X231" s="150">
        <f t="shared" si="145"/>
        <v>0</v>
      </c>
      <c r="Y231" s="150">
        <f t="shared" si="146"/>
        <v>0</v>
      </c>
      <c r="Z231" s="150">
        <f t="shared" si="147"/>
        <v>0</v>
      </c>
      <c r="AA231" s="150">
        <f t="shared" si="148"/>
        <v>0</v>
      </c>
      <c r="AB231" s="150">
        <f t="shared" si="190"/>
        <v>86870</v>
      </c>
      <c r="AC231" s="150">
        <f t="shared" si="149"/>
        <v>434.35</v>
      </c>
      <c r="AD231" s="150">
        <f t="shared" si="150"/>
        <v>0</v>
      </c>
      <c r="AE231" s="150">
        <f t="shared" si="151"/>
        <v>970</v>
      </c>
      <c r="AF231" s="150">
        <f t="shared" si="152"/>
        <v>85900</v>
      </c>
      <c r="AG231" s="150">
        <f t="shared" si="191"/>
        <v>0</v>
      </c>
      <c r="AH231" s="150">
        <f t="shared" si="153"/>
        <v>0</v>
      </c>
      <c r="AI231" s="150">
        <f t="shared" si="154"/>
        <v>0</v>
      </c>
      <c r="AJ231" s="150">
        <f t="shared" si="155"/>
        <v>0</v>
      </c>
      <c r="AK231" s="150">
        <f t="shared" si="156"/>
        <v>0</v>
      </c>
      <c r="AL231" s="150">
        <f t="shared" si="192"/>
        <v>0</v>
      </c>
      <c r="AM231" s="150">
        <f t="shared" si="157"/>
        <v>0</v>
      </c>
      <c r="AN231" s="150">
        <f t="shared" si="158"/>
        <v>0</v>
      </c>
      <c r="AO231" s="150">
        <f t="shared" si="159"/>
        <v>0</v>
      </c>
      <c r="AP231" s="150">
        <f t="shared" si="160"/>
        <v>0</v>
      </c>
      <c r="AQ231" s="149">
        <f t="shared" si="193"/>
        <v>970</v>
      </c>
      <c r="AR231" s="149">
        <f t="shared" si="194"/>
        <v>220084.4000000004</v>
      </c>
      <c r="AS231" s="133"/>
      <c r="AT231" s="152">
        <f t="shared" si="195"/>
        <v>179</v>
      </c>
      <c r="AU231" s="151">
        <f t="shared" si="161"/>
        <v>51104</v>
      </c>
      <c r="AV231" s="150">
        <f t="shared" si="196"/>
        <v>0</v>
      </c>
      <c r="AW231" s="150">
        <f t="shared" si="162"/>
        <v>0</v>
      </c>
      <c r="AX231" s="150">
        <f t="shared" si="163"/>
        <v>0</v>
      </c>
      <c r="AY231" s="150">
        <f t="shared" si="164"/>
        <v>0</v>
      </c>
      <c r="AZ231" s="150">
        <f t="shared" si="165"/>
        <v>0</v>
      </c>
      <c r="BA231" s="150">
        <f t="shared" si="197"/>
        <v>0</v>
      </c>
      <c r="BB231" s="150">
        <f t="shared" si="166"/>
        <v>0</v>
      </c>
      <c r="BC231" s="150">
        <f t="shared" si="167"/>
        <v>0</v>
      </c>
      <c r="BD231" s="150">
        <f t="shared" si="168"/>
        <v>0</v>
      </c>
      <c r="BE231" s="150">
        <f t="shared" si="169"/>
        <v>0</v>
      </c>
      <c r="BF231" s="150">
        <f t="shared" si="198"/>
        <v>0</v>
      </c>
      <c r="BG231" s="150">
        <f t="shared" si="170"/>
        <v>0</v>
      </c>
      <c r="BH231" s="150">
        <f t="shared" si="171"/>
        <v>0</v>
      </c>
      <c r="BI231" s="150">
        <f t="shared" si="172"/>
        <v>0</v>
      </c>
      <c r="BJ231" s="150">
        <f t="shared" si="173"/>
        <v>0</v>
      </c>
      <c r="BK231" s="150">
        <f t="shared" si="199"/>
        <v>80040</v>
      </c>
      <c r="BL231" s="150">
        <f t="shared" si="174"/>
        <v>400.2</v>
      </c>
      <c r="BM231" s="150">
        <f t="shared" si="175"/>
        <v>0</v>
      </c>
      <c r="BN231" s="150">
        <f t="shared" si="176"/>
        <v>920</v>
      </c>
      <c r="BO231" s="150">
        <f t="shared" si="177"/>
        <v>79120</v>
      </c>
      <c r="BP231" s="150">
        <f t="shared" si="200"/>
        <v>12000</v>
      </c>
      <c r="BQ231" s="150">
        <f t="shared" si="178"/>
        <v>50</v>
      </c>
      <c r="BR231" s="150">
        <f t="shared" si="179"/>
        <v>0</v>
      </c>
      <c r="BS231" s="150">
        <f t="shared" si="180"/>
        <v>0</v>
      </c>
      <c r="BT231" s="150">
        <f t="shared" si="181"/>
        <v>12000</v>
      </c>
      <c r="BU231" s="150">
        <f t="shared" si="201"/>
        <v>0</v>
      </c>
      <c r="BV231" s="150">
        <f t="shared" si="182"/>
        <v>0</v>
      </c>
      <c r="BW231" s="150">
        <f t="shared" si="183"/>
        <v>0</v>
      </c>
      <c r="BX231" s="150">
        <f t="shared" si="184"/>
        <v>0</v>
      </c>
      <c r="BY231" s="150">
        <f t="shared" si="185"/>
        <v>0</v>
      </c>
      <c r="BZ231" s="147">
        <f t="shared" si="202"/>
        <v>920</v>
      </c>
      <c r="CA231" s="147">
        <f t="shared" si="203"/>
        <v>207364.11000000013</v>
      </c>
    </row>
    <row r="232" spans="11:79">
      <c r="K232" s="132">
        <f t="shared" si="186"/>
        <v>180</v>
      </c>
      <c r="L232" s="148">
        <f t="shared" si="136"/>
        <v>51135</v>
      </c>
      <c r="M232" s="131">
        <f t="shared" si="187"/>
        <v>0</v>
      </c>
      <c r="N232" s="131">
        <f t="shared" si="137"/>
        <v>0</v>
      </c>
      <c r="O232" s="131">
        <f t="shared" si="138"/>
        <v>0</v>
      </c>
      <c r="P232" s="131">
        <f t="shared" si="139"/>
        <v>0</v>
      </c>
      <c r="Q232" s="131">
        <f t="shared" si="140"/>
        <v>0</v>
      </c>
      <c r="R232" s="131">
        <f t="shared" si="188"/>
        <v>0</v>
      </c>
      <c r="S232" s="131">
        <f t="shared" si="141"/>
        <v>0</v>
      </c>
      <c r="T232" s="131">
        <f t="shared" si="142"/>
        <v>0</v>
      </c>
      <c r="U232" s="131">
        <f t="shared" si="143"/>
        <v>0</v>
      </c>
      <c r="V232" s="131">
        <f t="shared" si="144"/>
        <v>0</v>
      </c>
      <c r="W232" s="131">
        <f t="shared" si="189"/>
        <v>0</v>
      </c>
      <c r="X232" s="131">
        <f t="shared" si="145"/>
        <v>0</v>
      </c>
      <c r="Y232" s="131">
        <f t="shared" si="146"/>
        <v>0</v>
      </c>
      <c r="Z232" s="131">
        <f t="shared" si="147"/>
        <v>0</v>
      </c>
      <c r="AA232" s="131">
        <f t="shared" si="148"/>
        <v>0</v>
      </c>
      <c r="AB232" s="131">
        <f t="shared" si="190"/>
        <v>85900</v>
      </c>
      <c r="AC232" s="131">
        <f t="shared" si="149"/>
        <v>429.5</v>
      </c>
      <c r="AD232" s="131">
        <f t="shared" si="150"/>
        <v>0</v>
      </c>
      <c r="AE232" s="131">
        <f t="shared" si="151"/>
        <v>970</v>
      </c>
      <c r="AF232" s="131">
        <f t="shared" si="152"/>
        <v>84930</v>
      </c>
      <c r="AG232" s="131">
        <f t="shared" si="191"/>
        <v>0</v>
      </c>
      <c r="AH232" s="131">
        <f t="shared" si="153"/>
        <v>0</v>
      </c>
      <c r="AI232" s="131">
        <f t="shared" si="154"/>
        <v>0</v>
      </c>
      <c r="AJ232" s="131">
        <f t="shared" si="155"/>
        <v>0</v>
      </c>
      <c r="AK232" s="131">
        <f t="shared" si="156"/>
        <v>0</v>
      </c>
      <c r="AL232" s="131">
        <f t="shared" si="192"/>
        <v>0</v>
      </c>
      <c r="AM232" s="131">
        <f t="shared" si="157"/>
        <v>0</v>
      </c>
      <c r="AN232" s="131">
        <f t="shared" si="158"/>
        <v>0</v>
      </c>
      <c r="AO232" s="131">
        <f t="shared" si="159"/>
        <v>0</v>
      </c>
      <c r="AP232" s="131">
        <f t="shared" si="160"/>
        <v>0</v>
      </c>
      <c r="AQ232" s="149">
        <f t="shared" si="193"/>
        <v>970</v>
      </c>
      <c r="AR232" s="149">
        <f t="shared" si="194"/>
        <v>220513.9000000004</v>
      </c>
      <c r="AS232" s="133"/>
      <c r="AT232" s="132">
        <f t="shared" si="195"/>
        <v>180</v>
      </c>
      <c r="AU232" s="148">
        <f t="shared" si="161"/>
        <v>51135</v>
      </c>
      <c r="AV232" s="131">
        <f t="shared" si="196"/>
        <v>0</v>
      </c>
      <c r="AW232" s="131">
        <f t="shared" si="162"/>
        <v>0</v>
      </c>
      <c r="AX232" s="131">
        <f t="shared" si="163"/>
        <v>0</v>
      </c>
      <c r="AY232" s="131">
        <f t="shared" si="164"/>
        <v>0</v>
      </c>
      <c r="AZ232" s="131">
        <f t="shared" si="165"/>
        <v>0</v>
      </c>
      <c r="BA232" s="131">
        <f t="shared" si="197"/>
        <v>0</v>
      </c>
      <c r="BB232" s="131">
        <f t="shared" si="166"/>
        <v>0</v>
      </c>
      <c r="BC232" s="131">
        <f t="shared" si="167"/>
        <v>0</v>
      </c>
      <c r="BD232" s="131">
        <f t="shared" si="168"/>
        <v>0</v>
      </c>
      <c r="BE232" s="131">
        <f t="shared" si="169"/>
        <v>0</v>
      </c>
      <c r="BF232" s="131">
        <f t="shared" si="198"/>
        <v>0</v>
      </c>
      <c r="BG232" s="131">
        <f t="shared" si="170"/>
        <v>0</v>
      </c>
      <c r="BH232" s="131">
        <f t="shared" si="171"/>
        <v>0</v>
      </c>
      <c r="BI232" s="131">
        <f t="shared" si="172"/>
        <v>0</v>
      </c>
      <c r="BJ232" s="131">
        <f t="shared" si="173"/>
        <v>0</v>
      </c>
      <c r="BK232" s="131">
        <f t="shared" si="199"/>
        <v>79120</v>
      </c>
      <c r="BL232" s="131">
        <f t="shared" si="174"/>
        <v>395.6</v>
      </c>
      <c r="BM232" s="131">
        <f t="shared" si="175"/>
        <v>0</v>
      </c>
      <c r="BN232" s="131">
        <f t="shared" si="176"/>
        <v>920</v>
      </c>
      <c r="BO232" s="131">
        <f t="shared" si="177"/>
        <v>78200</v>
      </c>
      <c r="BP232" s="131">
        <f t="shared" si="200"/>
        <v>12000</v>
      </c>
      <c r="BQ232" s="131">
        <f t="shared" si="178"/>
        <v>50</v>
      </c>
      <c r="BR232" s="131">
        <f t="shared" si="179"/>
        <v>0</v>
      </c>
      <c r="BS232" s="131">
        <f t="shared" si="180"/>
        <v>0</v>
      </c>
      <c r="BT232" s="131">
        <f t="shared" si="181"/>
        <v>12000</v>
      </c>
      <c r="BU232" s="131">
        <f t="shared" si="201"/>
        <v>0</v>
      </c>
      <c r="BV232" s="131">
        <f t="shared" si="182"/>
        <v>0</v>
      </c>
      <c r="BW232" s="131">
        <f t="shared" si="183"/>
        <v>0</v>
      </c>
      <c r="BX232" s="131">
        <f t="shared" si="184"/>
        <v>0</v>
      </c>
      <c r="BY232" s="131">
        <f t="shared" si="185"/>
        <v>0</v>
      </c>
      <c r="BZ232" s="147">
        <f t="shared" si="202"/>
        <v>920</v>
      </c>
      <c r="CA232" s="147">
        <f t="shared" si="203"/>
        <v>207809.71000000014</v>
      </c>
    </row>
    <row r="233" spans="11:79">
      <c r="K233" s="152">
        <f t="shared" si="186"/>
        <v>181</v>
      </c>
      <c r="L233" s="151">
        <f t="shared" si="136"/>
        <v>51166</v>
      </c>
      <c r="M233" s="150">
        <f t="shared" si="187"/>
        <v>0</v>
      </c>
      <c r="N233" s="150">
        <f t="shared" si="137"/>
        <v>0</v>
      </c>
      <c r="O233" s="150">
        <f t="shared" si="138"/>
        <v>0</v>
      </c>
      <c r="P233" s="150">
        <f t="shared" si="139"/>
        <v>0</v>
      </c>
      <c r="Q233" s="150">
        <f t="shared" si="140"/>
        <v>0</v>
      </c>
      <c r="R233" s="150">
        <f t="shared" si="188"/>
        <v>0</v>
      </c>
      <c r="S233" s="150">
        <f t="shared" si="141"/>
        <v>0</v>
      </c>
      <c r="T233" s="150">
        <f t="shared" si="142"/>
        <v>0</v>
      </c>
      <c r="U233" s="150">
        <f t="shared" si="143"/>
        <v>0</v>
      </c>
      <c r="V233" s="150">
        <f t="shared" si="144"/>
        <v>0</v>
      </c>
      <c r="W233" s="150">
        <f t="shared" si="189"/>
        <v>0</v>
      </c>
      <c r="X233" s="150">
        <f t="shared" si="145"/>
        <v>0</v>
      </c>
      <c r="Y233" s="150">
        <f t="shared" si="146"/>
        <v>0</v>
      </c>
      <c r="Z233" s="150">
        <f t="shared" si="147"/>
        <v>0</v>
      </c>
      <c r="AA233" s="150">
        <f t="shared" si="148"/>
        <v>0</v>
      </c>
      <c r="AB233" s="150">
        <f t="shared" si="190"/>
        <v>84930</v>
      </c>
      <c r="AC233" s="150">
        <f t="shared" si="149"/>
        <v>424.65</v>
      </c>
      <c r="AD233" s="150">
        <f t="shared" si="150"/>
        <v>0</v>
      </c>
      <c r="AE233" s="150">
        <f t="shared" si="151"/>
        <v>970</v>
      </c>
      <c r="AF233" s="150">
        <f t="shared" si="152"/>
        <v>83960</v>
      </c>
      <c r="AG233" s="150">
        <f t="shared" si="191"/>
        <v>0</v>
      </c>
      <c r="AH233" s="150">
        <f t="shared" si="153"/>
        <v>0</v>
      </c>
      <c r="AI233" s="150">
        <f t="shared" si="154"/>
        <v>0</v>
      </c>
      <c r="AJ233" s="150">
        <f t="shared" si="155"/>
        <v>0</v>
      </c>
      <c r="AK233" s="150">
        <f t="shared" si="156"/>
        <v>0</v>
      </c>
      <c r="AL233" s="150">
        <f t="shared" si="192"/>
        <v>0</v>
      </c>
      <c r="AM233" s="150">
        <f t="shared" si="157"/>
        <v>0</v>
      </c>
      <c r="AN233" s="150">
        <f t="shared" si="158"/>
        <v>0</v>
      </c>
      <c r="AO233" s="150">
        <f t="shared" si="159"/>
        <v>0</v>
      </c>
      <c r="AP233" s="150">
        <f t="shared" si="160"/>
        <v>0</v>
      </c>
      <c r="AQ233" s="149">
        <f t="shared" si="193"/>
        <v>970</v>
      </c>
      <c r="AR233" s="149">
        <f t="shared" si="194"/>
        <v>220938.5500000004</v>
      </c>
      <c r="AS233" s="133"/>
      <c r="AT233" s="152">
        <f t="shared" si="195"/>
        <v>181</v>
      </c>
      <c r="AU233" s="151">
        <f t="shared" si="161"/>
        <v>51166</v>
      </c>
      <c r="AV233" s="150">
        <f t="shared" si="196"/>
        <v>0</v>
      </c>
      <c r="AW233" s="150">
        <f t="shared" si="162"/>
        <v>0</v>
      </c>
      <c r="AX233" s="150">
        <f t="shared" si="163"/>
        <v>0</v>
      </c>
      <c r="AY233" s="150">
        <f t="shared" si="164"/>
        <v>0</v>
      </c>
      <c r="AZ233" s="150">
        <f t="shared" si="165"/>
        <v>0</v>
      </c>
      <c r="BA233" s="150">
        <f t="shared" si="197"/>
        <v>0</v>
      </c>
      <c r="BB233" s="150">
        <f t="shared" si="166"/>
        <v>0</v>
      </c>
      <c r="BC233" s="150">
        <f t="shared" si="167"/>
        <v>0</v>
      </c>
      <c r="BD233" s="150">
        <f t="shared" si="168"/>
        <v>0</v>
      </c>
      <c r="BE233" s="150">
        <f t="shared" si="169"/>
        <v>0</v>
      </c>
      <c r="BF233" s="150">
        <f t="shared" si="198"/>
        <v>0</v>
      </c>
      <c r="BG233" s="150">
        <f t="shared" si="170"/>
        <v>0</v>
      </c>
      <c r="BH233" s="150">
        <f t="shared" si="171"/>
        <v>0</v>
      </c>
      <c r="BI233" s="150">
        <f t="shared" si="172"/>
        <v>0</v>
      </c>
      <c r="BJ233" s="150">
        <f t="shared" si="173"/>
        <v>0</v>
      </c>
      <c r="BK233" s="150">
        <f t="shared" si="199"/>
        <v>78200</v>
      </c>
      <c r="BL233" s="150">
        <f t="shared" si="174"/>
        <v>391</v>
      </c>
      <c r="BM233" s="150">
        <f t="shared" si="175"/>
        <v>0</v>
      </c>
      <c r="BN233" s="150">
        <f t="shared" si="176"/>
        <v>920</v>
      </c>
      <c r="BO233" s="150">
        <f t="shared" si="177"/>
        <v>77280</v>
      </c>
      <c r="BP233" s="150">
        <f t="shared" si="200"/>
        <v>12000</v>
      </c>
      <c r="BQ233" s="150">
        <f t="shared" si="178"/>
        <v>50</v>
      </c>
      <c r="BR233" s="150">
        <f t="shared" si="179"/>
        <v>0</v>
      </c>
      <c r="BS233" s="150">
        <f t="shared" si="180"/>
        <v>0</v>
      </c>
      <c r="BT233" s="150">
        <f t="shared" si="181"/>
        <v>12000</v>
      </c>
      <c r="BU233" s="150">
        <f t="shared" si="201"/>
        <v>0</v>
      </c>
      <c r="BV233" s="150">
        <f t="shared" si="182"/>
        <v>0</v>
      </c>
      <c r="BW233" s="150">
        <f t="shared" si="183"/>
        <v>0</v>
      </c>
      <c r="BX233" s="150">
        <f t="shared" si="184"/>
        <v>0</v>
      </c>
      <c r="BY233" s="150">
        <f t="shared" si="185"/>
        <v>0</v>
      </c>
      <c r="BZ233" s="147">
        <f t="shared" si="202"/>
        <v>920</v>
      </c>
      <c r="CA233" s="147">
        <f t="shared" si="203"/>
        <v>208250.71000000014</v>
      </c>
    </row>
    <row r="234" spans="11:79">
      <c r="K234" s="132">
        <f t="shared" si="186"/>
        <v>182</v>
      </c>
      <c r="L234" s="148">
        <f t="shared" si="136"/>
        <v>51195</v>
      </c>
      <c r="M234" s="131">
        <f t="shared" si="187"/>
        <v>0</v>
      </c>
      <c r="N234" s="131">
        <f t="shared" si="137"/>
        <v>0</v>
      </c>
      <c r="O234" s="131">
        <f t="shared" si="138"/>
        <v>0</v>
      </c>
      <c r="P234" s="131">
        <f t="shared" si="139"/>
        <v>0</v>
      </c>
      <c r="Q234" s="131">
        <f t="shared" si="140"/>
        <v>0</v>
      </c>
      <c r="R234" s="131">
        <f t="shared" si="188"/>
        <v>0</v>
      </c>
      <c r="S234" s="131">
        <f t="shared" si="141"/>
        <v>0</v>
      </c>
      <c r="T234" s="131">
        <f t="shared" si="142"/>
        <v>0</v>
      </c>
      <c r="U234" s="131">
        <f t="shared" si="143"/>
        <v>0</v>
      </c>
      <c r="V234" s="131">
        <f t="shared" si="144"/>
        <v>0</v>
      </c>
      <c r="W234" s="131">
        <f t="shared" si="189"/>
        <v>0</v>
      </c>
      <c r="X234" s="131">
        <f t="shared" si="145"/>
        <v>0</v>
      </c>
      <c r="Y234" s="131">
        <f t="shared" si="146"/>
        <v>0</v>
      </c>
      <c r="Z234" s="131">
        <f t="shared" si="147"/>
        <v>0</v>
      </c>
      <c r="AA234" s="131">
        <f t="shared" si="148"/>
        <v>0</v>
      </c>
      <c r="AB234" s="131">
        <f t="shared" si="190"/>
        <v>83960</v>
      </c>
      <c r="AC234" s="131">
        <f t="shared" si="149"/>
        <v>419.8</v>
      </c>
      <c r="AD234" s="131">
        <f t="shared" si="150"/>
        <v>0</v>
      </c>
      <c r="AE234" s="131">
        <f t="shared" si="151"/>
        <v>970</v>
      </c>
      <c r="AF234" s="131">
        <f t="shared" si="152"/>
        <v>82990</v>
      </c>
      <c r="AG234" s="131">
        <f t="shared" si="191"/>
        <v>0</v>
      </c>
      <c r="AH234" s="131">
        <f t="shared" si="153"/>
        <v>0</v>
      </c>
      <c r="AI234" s="131">
        <f t="shared" si="154"/>
        <v>0</v>
      </c>
      <c r="AJ234" s="131">
        <f t="shared" si="155"/>
        <v>0</v>
      </c>
      <c r="AK234" s="131">
        <f t="shared" si="156"/>
        <v>0</v>
      </c>
      <c r="AL234" s="131">
        <f t="shared" si="192"/>
        <v>0</v>
      </c>
      <c r="AM234" s="131">
        <f t="shared" si="157"/>
        <v>0</v>
      </c>
      <c r="AN234" s="131">
        <f t="shared" si="158"/>
        <v>0</v>
      </c>
      <c r="AO234" s="131">
        <f t="shared" si="159"/>
        <v>0</v>
      </c>
      <c r="AP234" s="131">
        <f t="shared" si="160"/>
        <v>0</v>
      </c>
      <c r="AQ234" s="149">
        <f t="shared" si="193"/>
        <v>970</v>
      </c>
      <c r="AR234" s="149">
        <f t="shared" si="194"/>
        <v>221358.35000000038</v>
      </c>
      <c r="AS234" s="133"/>
      <c r="AT234" s="132">
        <f t="shared" si="195"/>
        <v>182</v>
      </c>
      <c r="AU234" s="148">
        <f t="shared" si="161"/>
        <v>51195</v>
      </c>
      <c r="AV234" s="131">
        <f t="shared" si="196"/>
        <v>0</v>
      </c>
      <c r="AW234" s="131">
        <f t="shared" si="162"/>
        <v>0</v>
      </c>
      <c r="AX234" s="131">
        <f t="shared" si="163"/>
        <v>0</v>
      </c>
      <c r="AY234" s="131">
        <f t="shared" si="164"/>
        <v>0</v>
      </c>
      <c r="AZ234" s="131">
        <f t="shared" si="165"/>
        <v>0</v>
      </c>
      <c r="BA234" s="131">
        <f t="shared" si="197"/>
        <v>0</v>
      </c>
      <c r="BB234" s="131">
        <f t="shared" si="166"/>
        <v>0</v>
      </c>
      <c r="BC234" s="131">
        <f t="shared" si="167"/>
        <v>0</v>
      </c>
      <c r="BD234" s="131">
        <f t="shared" si="168"/>
        <v>0</v>
      </c>
      <c r="BE234" s="131">
        <f t="shared" si="169"/>
        <v>0</v>
      </c>
      <c r="BF234" s="131">
        <f t="shared" si="198"/>
        <v>0</v>
      </c>
      <c r="BG234" s="131">
        <f t="shared" si="170"/>
        <v>0</v>
      </c>
      <c r="BH234" s="131">
        <f t="shared" si="171"/>
        <v>0</v>
      </c>
      <c r="BI234" s="131">
        <f t="shared" si="172"/>
        <v>0</v>
      </c>
      <c r="BJ234" s="131">
        <f t="shared" si="173"/>
        <v>0</v>
      </c>
      <c r="BK234" s="131">
        <f t="shared" si="199"/>
        <v>77280</v>
      </c>
      <c r="BL234" s="131">
        <f t="shared" si="174"/>
        <v>386.4</v>
      </c>
      <c r="BM234" s="131">
        <f t="shared" si="175"/>
        <v>0</v>
      </c>
      <c r="BN234" s="131">
        <f t="shared" si="176"/>
        <v>920</v>
      </c>
      <c r="BO234" s="131">
        <f t="shared" si="177"/>
        <v>76360</v>
      </c>
      <c r="BP234" s="131">
        <f t="shared" si="200"/>
        <v>12000</v>
      </c>
      <c r="BQ234" s="131">
        <f t="shared" si="178"/>
        <v>50</v>
      </c>
      <c r="BR234" s="131">
        <f t="shared" si="179"/>
        <v>0</v>
      </c>
      <c r="BS234" s="131">
        <f t="shared" si="180"/>
        <v>0</v>
      </c>
      <c r="BT234" s="131">
        <f t="shared" si="181"/>
        <v>12000</v>
      </c>
      <c r="BU234" s="131">
        <f t="shared" si="201"/>
        <v>0</v>
      </c>
      <c r="BV234" s="131">
        <f t="shared" si="182"/>
        <v>0</v>
      </c>
      <c r="BW234" s="131">
        <f t="shared" si="183"/>
        <v>0</v>
      </c>
      <c r="BX234" s="131">
        <f t="shared" si="184"/>
        <v>0</v>
      </c>
      <c r="BY234" s="131">
        <f t="shared" si="185"/>
        <v>0</v>
      </c>
      <c r="BZ234" s="147">
        <f t="shared" si="202"/>
        <v>920</v>
      </c>
      <c r="CA234" s="147">
        <f t="shared" si="203"/>
        <v>208687.11000000013</v>
      </c>
    </row>
    <row r="235" spans="11:79">
      <c r="K235" s="152">
        <f t="shared" si="186"/>
        <v>183</v>
      </c>
      <c r="L235" s="151">
        <f t="shared" si="136"/>
        <v>51226</v>
      </c>
      <c r="M235" s="150">
        <f t="shared" si="187"/>
        <v>0</v>
      </c>
      <c r="N235" s="150">
        <f t="shared" si="137"/>
        <v>0</v>
      </c>
      <c r="O235" s="150">
        <f t="shared" si="138"/>
        <v>0</v>
      </c>
      <c r="P235" s="150">
        <f t="shared" si="139"/>
        <v>0</v>
      </c>
      <c r="Q235" s="150">
        <f t="shared" si="140"/>
        <v>0</v>
      </c>
      <c r="R235" s="150">
        <f t="shared" si="188"/>
        <v>0</v>
      </c>
      <c r="S235" s="150">
        <f t="shared" si="141"/>
        <v>0</v>
      </c>
      <c r="T235" s="150">
        <f t="shared" si="142"/>
        <v>0</v>
      </c>
      <c r="U235" s="150">
        <f t="shared" si="143"/>
        <v>0</v>
      </c>
      <c r="V235" s="150">
        <f t="shared" si="144"/>
        <v>0</v>
      </c>
      <c r="W235" s="150">
        <f t="shared" si="189"/>
        <v>0</v>
      </c>
      <c r="X235" s="150">
        <f t="shared" si="145"/>
        <v>0</v>
      </c>
      <c r="Y235" s="150">
        <f t="shared" si="146"/>
        <v>0</v>
      </c>
      <c r="Z235" s="150">
        <f t="shared" si="147"/>
        <v>0</v>
      </c>
      <c r="AA235" s="150">
        <f t="shared" si="148"/>
        <v>0</v>
      </c>
      <c r="AB235" s="150">
        <f t="shared" si="190"/>
        <v>82990</v>
      </c>
      <c r="AC235" s="150">
        <f t="shared" si="149"/>
        <v>414.95</v>
      </c>
      <c r="AD235" s="150">
        <f t="shared" si="150"/>
        <v>0</v>
      </c>
      <c r="AE235" s="150">
        <f t="shared" si="151"/>
        <v>970</v>
      </c>
      <c r="AF235" s="150">
        <f t="shared" si="152"/>
        <v>82020</v>
      </c>
      <c r="AG235" s="150">
        <f t="shared" si="191"/>
        <v>0</v>
      </c>
      <c r="AH235" s="150">
        <f t="shared" si="153"/>
        <v>0</v>
      </c>
      <c r="AI235" s="150">
        <f t="shared" si="154"/>
        <v>0</v>
      </c>
      <c r="AJ235" s="150">
        <f t="shared" si="155"/>
        <v>0</v>
      </c>
      <c r="AK235" s="150">
        <f t="shared" si="156"/>
        <v>0</v>
      </c>
      <c r="AL235" s="150">
        <f t="shared" si="192"/>
        <v>0</v>
      </c>
      <c r="AM235" s="150">
        <f t="shared" si="157"/>
        <v>0</v>
      </c>
      <c r="AN235" s="150">
        <f t="shared" si="158"/>
        <v>0</v>
      </c>
      <c r="AO235" s="150">
        <f t="shared" si="159"/>
        <v>0</v>
      </c>
      <c r="AP235" s="150">
        <f t="shared" si="160"/>
        <v>0</v>
      </c>
      <c r="AQ235" s="149">
        <f t="shared" si="193"/>
        <v>970</v>
      </c>
      <c r="AR235" s="149">
        <f t="shared" si="194"/>
        <v>221773.3000000004</v>
      </c>
      <c r="AS235" s="133"/>
      <c r="AT235" s="152">
        <f t="shared" si="195"/>
        <v>183</v>
      </c>
      <c r="AU235" s="151">
        <f t="shared" si="161"/>
        <v>51226</v>
      </c>
      <c r="AV235" s="150">
        <f t="shared" si="196"/>
        <v>0</v>
      </c>
      <c r="AW235" s="150">
        <f t="shared" si="162"/>
        <v>0</v>
      </c>
      <c r="AX235" s="150">
        <f t="shared" si="163"/>
        <v>0</v>
      </c>
      <c r="AY235" s="150">
        <f t="shared" si="164"/>
        <v>0</v>
      </c>
      <c r="AZ235" s="150">
        <f t="shared" si="165"/>
        <v>0</v>
      </c>
      <c r="BA235" s="150">
        <f t="shared" si="197"/>
        <v>0</v>
      </c>
      <c r="BB235" s="150">
        <f t="shared" si="166"/>
        <v>0</v>
      </c>
      <c r="BC235" s="150">
        <f t="shared" si="167"/>
        <v>0</v>
      </c>
      <c r="BD235" s="150">
        <f t="shared" si="168"/>
        <v>0</v>
      </c>
      <c r="BE235" s="150">
        <f t="shared" si="169"/>
        <v>0</v>
      </c>
      <c r="BF235" s="150">
        <f t="shared" si="198"/>
        <v>0</v>
      </c>
      <c r="BG235" s="150">
        <f t="shared" si="170"/>
        <v>0</v>
      </c>
      <c r="BH235" s="150">
        <f t="shared" si="171"/>
        <v>0</v>
      </c>
      <c r="BI235" s="150">
        <f t="shared" si="172"/>
        <v>0</v>
      </c>
      <c r="BJ235" s="150">
        <f t="shared" si="173"/>
        <v>0</v>
      </c>
      <c r="BK235" s="150">
        <f t="shared" si="199"/>
        <v>76360</v>
      </c>
      <c r="BL235" s="150">
        <f t="shared" si="174"/>
        <v>381.8</v>
      </c>
      <c r="BM235" s="150">
        <f t="shared" si="175"/>
        <v>0</v>
      </c>
      <c r="BN235" s="150">
        <f t="shared" si="176"/>
        <v>920</v>
      </c>
      <c r="BO235" s="150">
        <f t="shared" si="177"/>
        <v>75440</v>
      </c>
      <c r="BP235" s="150">
        <f t="shared" si="200"/>
        <v>12000</v>
      </c>
      <c r="BQ235" s="150">
        <f t="shared" si="178"/>
        <v>50</v>
      </c>
      <c r="BR235" s="150">
        <f t="shared" si="179"/>
        <v>0</v>
      </c>
      <c r="BS235" s="150">
        <f t="shared" si="180"/>
        <v>0</v>
      </c>
      <c r="BT235" s="150">
        <f t="shared" si="181"/>
        <v>12000</v>
      </c>
      <c r="BU235" s="150">
        <f t="shared" si="201"/>
        <v>0</v>
      </c>
      <c r="BV235" s="150">
        <f t="shared" si="182"/>
        <v>0</v>
      </c>
      <c r="BW235" s="150">
        <f t="shared" si="183"/>
        <v>0</v>
      </c>
      <c r="BX235" s="150">
        <f t="shared" si="184"/>
        <v>0</v>
      </c>
      <c r="BY235" s="150">
        <f t="shared" si="185"/>
        <v>0</v>
      </c>
      <c r="BZ235" s="147">
        <f t="shared" si="202"/>
        <v>920</v>
      </c>
      <c r="CA235" s="147">
        <f t="shared" si="203"/>
        <v>209118.91000000012</v>
      </c>
    </row>
    <row r="236" spans="11:79">
      <c r="K236" s="132">
        <f t="shared" si="186"/>
        <v>184</v>
      </c>
      <c r="L236" s="148">
        <f t="shared" si="136"/>
        <v>51256</v>
      </c>
      <c r="M236" s="131">
        <f t="shared" si="187"/>
        <v>0</v>
      </c>
      <c r="N236" s="131">
        <f t="shared" si="137"/>
        <v>0</v>
      </c>
      <c r="O236" s="131">
        <f t="shared" si="138"/>
        <v>0</v>
      </c>
      <c r="P236" s="131">
        <f t="shared" si="139"/>
        <v>0</v>
      </c>
      <c r="Q236" s="131">
        <f t="shared" si="140"/>
        <v>0</v>
      </c>
      <c r="R236" s="131">
        <f t="shared" si="188"/>
        <v>0</v>
      </c>
      <c r="S236" s="131">
        <f t="shared" si="141"/>
        <v>0</v>
      </c>
      <c r="T236" s="131">
        <f t="shared" si="142"/>
        <v>0</v>
      </c>
      <c r="U236" s="131">
        <f t="shared" si="143"/>
        <v>0</v>
      </c>
      <c r="V236" s="131">
        <f t="shared" si="144"/>
        <v>0</v>
      </c>
      <c r="W236" s="131">
        <f t="shared" si="189"/>
        <v>0</v>
      </c>
      <c r="X236" s="131">
        <f t="shared" si="145"/>
        <v>0</v>
      </c>
      <c r="Y236" s="131">
        <f t="shared" si="146"/>
        <v>0</v>
      </c>
      <c r="Z236" s="131">
        <f t="shared" si="147"/>
        <v>0</v>
      </c>
      <c r="AA236" s="131">
        <f t="shared" si="148"/>
        <v>0</v>
      </c>
      <c r="AB236" s="131">
        <f t="shared" si="190"/>
        <v>82020</v>
      </c>
      <c r="AC236" s="131">
        <f t="shared" si="149"/>
        <v>410.1</v>
      </c>
      <c r="AD236" s="131">
        <f t="shared" si="150"/>
        <v>0</v>
      </c>
      <c r="AE236" s="131">
        <f t="shared" si="151"/>
        <v>970</v>
      </c>
      <c r="AF236" s="131">
        <f t="shared" si="152"/>
        <v>81050</v>
      </c>
      <c r="AG236" s="131">
        <f t="shared" si="191"/>
        <v>0</v>
      </c>
      <c r="AH236" s="131">
        <f t="shared" si="153"/>
        <v>0</v>
      </c>
      <c r="AI236" s="131">
        <f t="shared" si="154"/>
        <v>0</v>
      </c>
      <c r="AJ236" s="131">
        <f t="shared" si="155"/>
        <v>0</v>
      </c>
      <c r="AK236" s="131">
        <f t="shared" si="156"/>
        <v>0</v>
      </c>
      <c r="AL236" s="131">
        <f t="shared" si="192"/>
        <v>0</v>
      </c>
      <c r="AM236" s="131">
        <f t="shared" si="157"/>
        <v>0</v>
      </c>
      <c r="AN236" s="131">
        <f t="shared" si="158"/>
        <v>0</v>
      </c>
      <c r="AO236" s="131">
        <f t="shared" si="159"/>
        <v>0</v>
      </c>
      <c r="AP236" s="131">
        <f t="shared" si="160"/>
        <v>0</v>
      </c>
      <c r="AQ236" s="149">
        <f t="shared" si="193"/>
        <v>970</v>
      </c>
      <c r="AR236" s="149">
        <f t="shared" si="194"/>
        <v>222183.4000000004</v>
      </c>
      <c r="AS236" s="133"/>
      <c r="AT236" s="132">
        <f t="shared" si="195"/>
        <v>184</v>
      </c>
      <c r="AU236" s="148">
        <f t="shared" si="161"/>
        <v>51256</v>
      </c>
      <c r="AV236" s="131">
        <f t="shared" si="196"/>
        <v>0</v>
      </c>
      <c r="AW236" s="131">
        <f t="shared" si="162"/>
        <v>0</v>
      </c>
      <c r="AX236" s="131">
        <f t="shared" si="163"/>
        <v>0</v>
      </c>
      <c r="AY236" s="131">
        <f t="shared" si="164"/>
        <v>0</v>
      </c>
      <c r="AZ236" s="131">
        <f t="shared" si="165"/>
        <v>0</v>
      </c>
      <c r="BA236" s="131">
        <f t="shared" si="197"/>
        <v>0</v>
      </c>
      <c r="BB236" s="131">
        <f t="shared" si="166"/>
        <v>0</v>
      </c>
      <c r="BC236" s="131">
        <f t="shared" si="167"/>
        <v>0</v>
      </c>
      <c r="BD236" s="131">
        <f t="shared" si="168"/>
        <v>0</v>
      </c>
      <c r="BE236" s="131">
        <f t="shared" si="169"/>
        <v>0</v>
      </c>
      <c r="BF236" s="131">
        <f t="shared" si="198"/>
        <v>0</v>
      </c>
      <c r="BG236" s="131">
        <f t="shared" si="170"/>
        <v>0</v>
      </c>
      <c r="BH236" s="131">
        <f t="shared" si="171"/>
        <v>0</v>
      </c>
      <c r="BI236" s="131">
        <f t="shared" si="172"/>
        <v>0</v>
      </c>
      <c r="BJ236" s="131">
        <f t="shared" si="173"/>
        <v>0</v>
      </c>
      <c r="BK236" s="131">
        <f t="shared" si="199"/>
        <v>75440</v>
      </c>
      <c r="BL236" s="131">
        <f t="shared" si="174"/>
        <v>377.2</v>
      </c>
      <c r="BM236" s="131">
        <f t="shared" si="175"/>
        <v>0</v>
      </c>
      <c r="BN236" s="131">
        <f t="shared" si="176"/>
        <v>920</v>
      </c>
      <c r="BO236" s="131">
        <f t="shared" si="177"/>
        <v>74520</v>
      </c>
      <c r="BP236" s="131">
        <f t="shared" si="200"/>
        <v>12000</v>
      </c>
      <c r="BQ236" s="131">
        <f t="shared" si="178"/>
        <v>50</v>
      </c>
      <c r="BR236" s="131">
        <f t="shared" si="179"/>
        <v>0</v>
      </c>
      <c r="BS236" s="131">
        <f t="shared" si="180"/>
        <v>0</v>
      </c>
      <c r="BT236" s="131">
        <f t="shared" si="181"/>
        <v>12000</v>
      </c>
      <c r="BU236" s="131">
        <f t="shared" si="201"/>
        <v>0</v>
      </c>
      <c r="BV236" s="131">
        <f t="shared" si="182"/>
        <v>0</v>
      </c>
      <c r="BW236" s="131">
        <f t="shared" si="183"/>
        <v>0</v>
      </c>
      <c r="BX236" s="131">
        <f t="shared" si="184"/>
        <v>0</v>
      </c>
      <c r="BY236" s="131">
        <f t="shared" si="185"/>
        <v>0</v>
      </c>
      <c r="BZ236" s="147">
        <f t="shared" si="202"/>
        <v>920</v>
      </c>
      <c r="CA236" s="147">
        <f t="shared" si="203"/>
        <v>209546.11000000013</v>
      </c>
    </row>
    <row r="237" spans="11:79">
      <c r="K237" s="152">
        <f t="shared" si="186"/>
        <v>185</v>
      </c>
      <c r="L237" s="151">
        <f t="shared" si="136"/>
        <v>51287</v>
      </c>
      <c r="M237" s="150">
        <f t="shared" si="187"/>
        <v>0</v>
      </c>
      <c r="N237" s="150">
        <f t="shared" si="137"/>
        <v>0</v>
      </c>
      <c r="O237" s="150">
        <f t="shared" si="138"/>
        <v>0</v>
      </c>
      <c r="P237" s="150">
        <f t="shared" si="139"/>
        <v>0</v>
      </c>
      <c r="Q237" s="150">
        <f t="shared" si="140"/>
        <v>0</v>
      </c>
      <c r="R237" s="150">
        <f t="shared" si="188"/>
        <v>0</v>
      </c>
      <c r="S237" s="150">
        <f t="shared" si="141"/>
        <v>0</v>
      </c>
      <c r="T237" s="150">
        <f t="shared" si="142"/>
        <v>0</v>
      </c>
      <c r="U237" s="150">
        <f t="shared" si="143"/>
        <v>0</v>
      </c>
      <c r="V237" s="150">
        <f t="shared" si="144"/>
        <v>0</v>
      </c>
      <c r="W237" s="150">
        <f t="shared" si="189"/>
        <v>0</v>
      </c>
      <c r="X237" s="150">
        <f t="shared" si="145"/>
        <v>0</v>
      </c>
      <c r="Y237" s="150">
        <f t="shared" si="146"/>
        <v>0</v>
      </c>
      <c r="Z237" s="150">
        <f t="shared" si="147"/>
        <v>0</v>
      </c>
      <c r="AA237" s="150">
        <f t="shared" si="148"/>
        <v>0</v>
      </c>
      <c r="AB237" s="150">
        <f t="shared" si="190"/>
        <v>81050</v>
      </c>
      <c r="AC237" s="150">
        <f t="shared" si="149"/>
        <v>405.25</v>
      </c>
      <c r="AD237" s="150">
        <f t="shared" si="150"/>
        <v>0</v>
      </c>
      <c r="AE237" s="150">
        <f t="shared" si="151"/>
        <v>970</v>
      </c>
      <c r="AF237" s="150">
        <f t="shared" si="152"/>
        <v>80080</v>
      </c>
      <c r="AG237" s="150">
        <f t="shared" si="191"/>
        <v>0</v>
      </c>
      <c r="AH237" s="150">
        <f t="shared" si="153"/>
        <v>0</v>
      </c>
      <c r="AI237" s="150">
        <f t="shared" si="154"/>
        <v>0</v>
      </c>
      <c r="AJ237" s="150">
        <f t="shared" si="155"/>
        <v>0</v>
      </c>
      <c r="AK237" s="150">
        <f t="shared" si="156"/>
        <v>0</v>
      </c>
      <c r="AL237" s="150">
        <f t="shared" si="192"/>
        <v>0</v>
      </c>
      <c r="AM237" s="150">
        <f t="shared" si="157"/>
        <v>0</v>
      </c>
      <c r="AN237" s="150">
        <f t="shared" si="158"/>
        <v>0</v>
      </c>
      <c r="AO237" s="150">
        <f t="shared" si="159"/>
        <v>0</v>
      </c>
      <c r="AP237" s="150">
        <f t="shared" si="160"/>
        <v>0</v>
      </c>
      <c r="AQ237" s="149">
        <f t="shared" si="193"/>
        <v>970</v>
      </c>
      <c r="AR237" s="149">
        <f t="shared" si="194"/>
        <v>222588.6500000004</v>
      </c>
      <c r="AS237" s="133"/>
      <c r="AT237" s="152">
        <f t="shared" si="195"/>
        <v>185</v>
      </c>
      <c r="AU237" s="151">
        <f t="shared" si="161"/>
        <v>51287</v>
      </c>
      <c r="AV237" s="150">
        <f t="shared" si="196"/>
        <v>0</v>
      </c>
      <c r="AW237" s="150">
        <f t="shared" si="162"/>
        <v>0</v>
      </c>
      <c r="AX237" s="150">
        <f t="shared" si="163"/>
        <v>0</v>
      </c>
      <c r="AY237" s="150">
        <f t="shared" si="164"/>
        <v>0</v>
      </c>
      <c r="AZ237" s="150">
        <f t="shared" si="165"/>
        <v>0</v>
      </c>
      <c r="BA237" s="150">
        <f t="shared" si="197"/>
        <v>0</v>
      </c>
      <c r="BB237" s="150">
        <f t="shared" si="166"/>
        <v>0</v>
      </c>
      <c r="BC237" s="150">
        <f t="shared" si="167"/>
        <v>0</v>
      </c>
      <c r="BD237" s="150">
        <f t="shared" si="168"/>
        <v>0</v>
      </c>
      <c r="BE237" s="150">
        <f t="shared" si="169"/>
        <v>0</v>
      </c>
      <c r="BF237" s="150">
        <f t="shared" si="198"/>
        <v>0</v>
      </c>
      <c r="BG237" s="150">
        <f t="shared" si="170"/>
        <v>0</v>
      </c>
      <c r="BH237" s="150">
        <f t="shared" si="171"/>
        <v>0</v>
      </c>
      <c r="BI237" s="150">
        <f t="shared" si="172"/>
        <v>0</v>
      </c>
      <c r="BJ237" s="150">
        <f t="shared" si="173"/>
        <v>0</v>
      </c>
      <c r="BK237" s="150">
        <f t="shared" si="199"/>
        <v>74520</v>
      </c>
      <c r="BL237" s="150">
        <f t="shared" si="174"/>
        <v>372.6</v>
      </c>
      <c r="BM237" s="150">
        <f t="shared" si="175"/>
        <v>0</v>
      </c>
      <c r="BN237" s="150">
        <f t="shared" si="176"/>
        <v>920</v>
      </c>
      <c r="BO237" s="150">
        <f t="shared" si="177"/>
        <v>73600</v>
      </c>
      <c r="BP237" s="150">
        <f t="shared" si="200"/>
        <v>12000</v>
      </c>
      <c r="BQ237" s="150">
        <f t="shared" si="178"/>
        <v>50</v>
      </c>
      <c r="BR237" s="150">
        <f t="shared" si="179"/>
        <v>0</v>
      </c>
      <c r="BS237" s="150">
        <f t="shared" si="180"/>
        <v>0</v>
      </c>
      <c r="BT237" s="150">
        <f t="shared" si="181"/>
        <v>12000</v>
      </c>
      <c r="BU237" s="150">
        <f t="shared" si="201"/>
        <v>0</v>
      </c>
      <c r="BV237" s="150">
        <f t="shared" si="182"/>
        <v>0</v>
      </c>
      <c r="BW237" s="150">
        <f t="shared" si="183"/>
        <v>0</v>
      </c>
      <c r="BX237" s="150">
        <f t="shared" si="184"/>
        <v>0</v>
      </c>
      <c r="BY237" s="150">
        <f t="shared" si="185"/>
        <v>0</v>
      </c>
      <c r="BZ237" s="147">
        <f t="shared" si="202"/>
        <v>920</v>
      </c>
      <c r="CA237" s="147">
        <f t="shared" si="203"/>
        <v>209968.71000000014</v>
      </c>
    </row>
    <row r="238" spans="11:79">
      <c r="K238" s="132">
        <f t="shared" si="186"/>
        <v>186</v>
      </c>
      <c r="L238" s="148">
        <f t="shared" si="136"/>
        <v>51317</v>
      </c>
      <c r="M238" s="131">
        <f t="shared" si="187"/>
        <v>0</v>
      </c>
      <c r="N238" s="131">
        <f t="shared" si="137"/>
        <v>0</v>
      </c>
      <c r="O238" s="131">
        <f t="shared" si="138"/>
        <v>0</v>
      </c>
      <c r="P238" s="131">
        <f t="shared" si="139"/>
        <v>0</v>
      </c>
      <c r="Q238" s="131">
        <f t="shared" si="140"/>
        <v>0</v>
      </c>
      <c r="R238" s="131">
        <f t="shared" si="188"/>
        <v>0</v>
      </c>
      <c r="S238" s="131">
        <f t="shared" si="141"/>
        <v>0</v>
      </c>
      <c r="T238" s="131">
        <f t="shared" si="142"/>
        <v>0</v>
      </c>
      <c r="U238" s="131">
        <f t="shared" si="143"/>
        <v>0</v>
      </c>
      <c r="V238" s="131">
        <f t="shared" si="144"/>
        <v>0</v>
      </c>
      <c r="W238" s="131">
        <f t="shared" si="189"/>
        <v>0</v>
      </c>
      <c r="X238" s="131">
        <f t="shared" si="145"/>
        <v>0</v>
      </c>
      <c r="Y238" s="131">
        <f t="shared" si="146"/>
        <v>0</v>
      </c>
      <c r="Z238" s="131">
        <f t="shared" si="147"/>
        <v>0</v>
      </c>
      <c r="AA238" s="131">
        <f t="shared" si="148"/>
        <v>0</v>
      </c>
      <c r="AB238" s="131">
        <f t="shared" si="190"/>
        <v>80080</v>
      </c>
      <c r="AC238" s="131">
        <f t="shared" si="149"/>
        <v>400.4</v>
      </c>
      <c r="AD238" s="131">
        <f t="shared" si="150"/>
        <v>0</v>
      </c>
      <c r="AE238" s="131">
        <f t="shared" si="151"/>
        <v>970</v>
      </c>
      <c r="AF238" s="131">
        <f t="shared" si="152"/>
        <v>79110</v>
      </c>
      <c r="AG238" s="131">
        <f t="shared" si="191"/>
        <v>0</v>
      </c>
      <c r="AH238" s="131">
        <f t="shared" si="153"/>
        <v>0</v>
      </c>
      <c r="AI238" s="131">
        <f t="shared" si="154"/>
        <v>0</v>
      </c>
      <c r="AJ238" s="131">
        <f t="shared" si="155"/>
        <v>0</v>
      </c>
      <c r="AK238" s="131">
        <f t="shared" si="156"/>
        <v>0</v>
      </c>
      <c r="AL238" s="131">
        <f t="shared" si="192"/>
        <v>0</v>
      </c>
      <c r="AM238" s="131">
        <f t="shared" si="157"/>
        <v>0</v>
      </c>
      <c r="AN238" s="131">
        <f t="shared" si="158"/>
        <v>0</v>
      </c>
      <c r="AO238" s="131">
        <f t="shared" si="159"/>
        <v>0</v>
      </c>
      <c r="AP238" s="131">
        <f t="shared" si="160"/>
        <v>0</v>
      </c>
      <c r="AQ238" s="149">
        <f t="shared" si="193"/>
        <v>970</v>
      </c>
      <c r="AR238" s="149">
        <f t="shared" si="194"/>
        <v>222989.0500000004</v>
      </c>
      <c r="AS238" s="133"/>
      <c r="AT238" s="132">
        <f t="shared" si="195"/>
        <v>186</v>
      </c>
      <c r="AU238" s="148">
        <f t="shared" si="161"/>
        <v>51317</v>
      </c>
      <c r="AV238" s="131">
        <f t="shared" si="196"/>
        <v>0</v>
      </c>
      <c r="AW238" s="131">
        <f t="shared" si="162"/>
        <v>0</v>
      </c>
      <c r="AX238" s="131">
        <f t="shared" si="163"/>
        <v>0</v>
      </c>
      <c r="AY238" s="131">
        <f t="shared" si="164"/>
        <v>0</v>
      </c>
      <c r="AZ238" s="131">
        <f t="shared" si="165"/>
        <v>0</v>
      </c>
      <c r="BA238" s="131">
        <f t="shared" si="197"/>
        <v>0</v>
      </c>
      <c r="BB238" s="131">
        <f t="shared" si="166"/>
        <v>0</v>
      </c>
      <c r="BC238" s="131">
        <f t="shared" si="167"/>
        <v>0</v>
      </c>
      <c r="BD238" s="131">
        <f t="shared" si="168"/>
        <v>0</v>
      </c>
      <c r="BE238" s="131">
        <f t="shared" si="169"/>
        <v>0</v>
      </c>
      <c r="BF238" s="131">
        <f t="shared" si="198"/>
        <v>0</v>
      </c>
      <c r="BG238" s="131">
        <f t="shared" si="170"/>
        <v>0</v>
      </c>
      <c r="BH238" s="131">
        <f t="shared" si="171"/>
        <v>0</v>
      </c>
      <c r="BI238" s="131">
        <f t="shared" si="172"/>
        <v>0</v>
      </c>
      <c r="BJ238" s="131">
        <f t="shared" si="173"/>
        <v>0</v>
      </c>
      <c r="BK238" s="131">
        <f t="shared" si="199"/>
        <v>73600</v>
      </c>
      <c r="BL238" s="131">
        <f t="shared" si="174"/>
        <v>368</v>
      </c>
      <c r="BM238" s="131">
        <f t="shared" si="175"/>
        <v>0</v>
      </c>
      <c r="BN238" s="131">
        <f t="shared" si="176"/>
        <v>920</v>
      </c>
      <c r="BO238" s="131">
        <f t="shared" si="177"/>
        <v>72680</v>
      </c>
      <c r="BP238" s="131">
        <f t="shared" si="200"/>
        <v>12000</v>
      </c>
      <c r="BQ238" s="131">
        <f t="shared" si="178"/>
        <v>50</v>
      </c>
      <c r="BR238" s="131">
        <f t="shared" si="179"/>
        <v>0</v>
      </c>
      <c r="BS238" s="131">
        <f t="shared" si="180"/>
        <v>0</v>
      </c>
      <c r="BT238" s="131">
        <f t="shared" si="181"/>
        <v>12000</v>
      </c>
      <c r="BU238" s="131">
        <f t="shared" si="201"/>
        <v>0</v>
      </c>
      <c r="BV238" s="131">
        <f t="shared" si="182"/>
        <v>0</v>
      </c>
      <c r="BW238" s="131">
        <f t="shared" si="183"/>
        <v>0</v>
      </c>
      <c r="BX238" s="131">
        <f t="shared" si="184"/>
        <v>0</v>
      </c>
      <c r="BY238" s="131">
        <f t="shared" si="185"/>
        <v>0</v>
      </c>
      <c r="BZ238" s="147">
        <f t="shared" si="202"/>
        <v>920</v>
      </c>
      <c r="CA238" s="147">
        <f t="shared" si="203"/>
        <v>210386.71000000014</v>
      </c>
    </row>
    <row r="239" spans="11:79">
      <c r="K239" s="152">
        <f t="shared" si="186"/>
        <v>187</v>
      </c>
      <c r="L239" s="151">
        <f t="shared" si="136"/>
        <v>51348</v>
      </c>
      <c r="M239" s="150">
        <f t="shared" si="187"/>
        <v>0</v>
      </c>
      <c r="N239" s="150">
        <f t="shared" si="137"/>
        <v>0</v>
      </c>
      <c r="O239" s="150">
        <f t="shared" si="138"/>
        <v>0</v>
      </c>
      <c r="P239" s="150">
        <f t="shared" si="139"/>
        <v>0</v>
      </c>
      <c r="Q239" s="150">
        <f t="shared" si="140"/>
        <v>0</v>
      </c>
      <c r="R239" s="150">
        <f t="shared" si="188"/>
        <v>0</v>
      </c>
      <c r="S239" s="150">
        <f t="shared" si="141"/>
        <v>0</v>
      </c>
      <c r="T239" s="150">
        <f t="shared" si="142"/>
        <v>0</v>
      </c>
      <c r="U239" s="150">
        <f t="shared" si="143"/>
        <v>0</v>
      </c>
      <c r="V239" s="150">
        <f t="shared" si="144"/>
        <v>0</v>
      </c>
      <c r="W239" s="150">
        <f t="shared" si="189"/>
        <v>0</v>
      </c>
      <c r="X239" s="150">
        <f t="shared" si="145"/>
        <v>0</v>
      </c>
      <c r="Y239" s="150">
        <f t="shared" si="146"/>
        <v>0</v>
      </c>
      <c r="Z239" s="150">
        <f t="shared" si="147"/>
        <v>0</v>
      </c>
      <c r="AA239" s="150">
        <f t="shared" si="148"/>
        <v>0</v>
      </c>
      <c r="AB239" s="150">
        <f t="shared" si="190"/>
        <v>79110</v>
      </c>
      <c r="AC239" s="150">
        <f t="shared" si="149"/>
        <v>395.55</v>
      </c>
      <c r="AD239" s="150">
        <f t="shared" si="150"/>
        <v>0</v>
      </c>
      <c r="AE239" s="150">
        <f t="shared" si="151"/>
        <v>970</v>
      </c>
      <c r="AF239" s="150">
        <f t="shared" si="152"/>
        <v>78140</v>
      </c>
      <c r="AG239" s="150">
        <f t="shared" si="191"/>
        <v>0</v>
      </c>
      <c r="AH239" s="150">
        <f t="shared" si="153"/>
        <v>0</v>
      </c>
      <c r="AI239" s="150">
        <f t="shared" si="154"/>
        <v>0</v>
      </c>
      <c r="AJ239" s="150">
        <f t="shared" si="155"/>
        <v>0</v>
      </c>
      <c r="AK239" s="150">
        <f t="shared" si="156"/>
        <v>0</v>
      </c>
      <c r="AL239" s="150">
        <f t="shared" si="192"/>
        <v>0</v>
      </c>
      <c r="AM239" s="150">
        <f t="shared" si="157"/>
        <v>0</v>
      </c>
      <c r="AN239" s="150">
        <f t="shared" si="158"/>
        <v>0</v>
      </c>
      <c r="AO239" s="150">
        <f t="shared" si="159"/>
        <v>0</v>
      </c>
      <c r="AP239" s="150">
        <f t="shared" si="160"/>
        <v>0</v>
      </c>
      <c r="AQ239" s="149">
        <f t="shared" si="193"/>
        <v>970</v>
      </c>
      <c r="AR239" s="149">
        <f t="shared" si="194"/>
        <v>223384.60000000038</v>
      </c>
      <c r="AS239" s="133"/>
      <c r="AT239" s="152">
        <f t="shared" si="195"/>
        <v>187</v>
      </c>
      <c r="AU239" s="151">
        <f t="shared" si="161"/>
        <v>51348</v>
      </c>
      <c r="AV239" s="150">
        <f t="shared" si="196"/>
        <v>0</v>
      </c>
      <c r="AW239" s="150">
        <f t="shared" si="162"/>
        <v>0</v>
      </c>
      <c r="AX239" s="150">
        <f t="shared" si="163"/>
        <v>0</v>
      </c>
      <c r="AY239" s="150">
        <f t="shared" si="164"/>
        <v>0</v>
      </c>
      <c r="AZ239" s="150">
        <f t="shared" si="165"/>
        <v>0</v>
      </c>
      <c r="BA239" s="150">
        <f t="shared" si="197"/>
        <v>0</v>
      </c>
      <c r="BB239" s="150">
        <f t="shared" si="166"/>
        <v>0</v>
      </c>
      <c r="BC239" s="150">
        <f t="shared" si="167"/>
        <v>0</v>
      </c>
      <c r="BD239" s="150">
        <f t="shared" si="168"/>
        <v>0</v>
      </c>
      <c r="BE239" s="150">
        <f t="shared" si="169"/>
        <v>0</v>
      </c>
      <c r="BF239" s="150">
        <f t="shared" si="198"/>
        <v>0</v>
      </c>
      <c r="BG239" s="150">
        <f t="shared" si="170"/>
        <v>0</v>
      </c>
      <c r="BH239" s="150">
        <f t="shared" si="171"/>
        <v>0</v>
      </c>
      <c r="BI239" s="150">
        <f t="shared" si="172"/>
        <v>0</v>
      </c>
      <c r="BJ239" s="150">
        <f t="shared" si="173"/>
        <v>0</v>
      </c>
      <c r="BK239" s="150">
        <f t="shared" si="199"/>
        <v>72680</v>
      </c>
      <c r="BL239" s="150">
        <f t="shared" si="174"/>
        <v>363.4</v>
      </c>
      <c r="BM239" s="150">
        <f t="shared" si="175"/>
        <v>0</v>
      </c>
      <c r="BN239" s="150">
        <f t="shared" si="176"/>
        <v>920</v>
      </c>
      <c r="BO239" s="150">
        <f t="shared" si="177"/>
        <v>71760</v>
      </c>
      <c r="BP239" s="150">
        <f t="shared" si="200"/>
        <v>12000</v>
      </c>
      <c r="BQ239" s="150">
        <f t="shared" si="178"/>
        <v>50</v>
      </c>
      <c r="BR239" s="150">
        <f t="shared" si="179"/>
        <v>0</v>
      </c>
      <c r="BS239" s="150">
        <f t="shared" si="180"/>
        <v>0</v>
      </c>
      <c r="BT239" s="150">
        <f t="shared" si="181"/>
        <v>12000</v>
      </c>
      <c r="BU239" s="150">
        <f t="shared" si="201"/>
        <v>0</v>
      </c>
      <c r="BV239" s="150">
        <f t="shared" si="182"/>
        <v>0</v>
      </c>
      <c r="BW239" s="150">
        <f t="shared" si="183"/>
        <v>0</v>
      </c>
      <c r="BX239" s="150">
        <f t="shared" si="184"/>
        <v>0</v>
      </c>
      <c r="BY239" s="150">
        <f t="shared" si="185"/>
        <v>0</v>
      </c>
      <c r="BZ239" s="147">
        <f t="shared" si="202"/>
        <v>920</v>
      </c>
      <c r="CA239" s="147">
        <f t="shared" si="203"/>
        <v>210800.11000000013</v>
      </c>
    </row>
    <row r="240" spans="11:79">
      <c r="K240" s="132">
        <f t="shared" si="186"/>
        <v>188</v>
      </c>
      <c r="L240" s="148">
        <f t="shared" si="136"/>
        <v>51379</v>
      </c>
      <c r="M240" s="131">
        <f t="shared" si="187"/>
        <v>0</v>
      </c>
      <c r="N240" s="131">
        <f t="shared" si="137"/>
        <v>0</v>
      </c>
      <c r="O240" s="131">
        <f t="shared" si="138"/>
        <v>0</v>
      </c>
      <c r="P240" s="131">
        <f t="shared" si="139"/>
        <v>0</v>
      </c>
      <c r="Q240" s="131">
        <f t="shared" si="140"/>
        <v>0</v>
      </c>
      <c r="R240" s="131">
        <f t="shared" si="188"/>
        <v>0</v>
      </c>
      <c r="S240" s="131">
        <f t="shared" si="141"/>
        <v>0</v>
      </c>
      <c r="T240" s="131">
        <f t="shared" si="142"/>
        <v>0</v>
      </c>
      <c r="U240" s="131">
        <f t="shared" si="143"/>
        <v>0</v>
      </c>
      <c r="V240" s="131">
        <f t="shared" si="144"/>
        <v>0</v>
      </c>
      <c r="W240" s="131">
        <f t="shared" si="189"/>
        <v>0</v>
      </c>
      <c r="X240" s="131">
        <f t="shared" si="145"/>
        <v>0</v>
      </c>
      <c r="Y240" s="131">
        <f t="shared" si="146"/>
        <v>0</v>
      </c>
      <c r="Z240" s="131">
        <f t="shared" si="147"/>
        <v>0</v>
      </c>
      <c r="AA240" s="131">
        <f t="shared" si="148"/>
        <v>0</v>
      </c>
      <c r="AB240" s="131">
        <f t="shared" si="190"/>
        <v>78140</v>
      </c>
      <c r="AC240" s="131">
        <f t="shared" si="149"/>
        <v>390.7</v>
      </c>
      <c r="AD240" s="131">
        <f t="shared" si="150"/>
        <v>0</v>
      </c>
      <c r="AE240" s="131">
        <f t="shared" si="151"/>
        <v>970</v>
      </c>
      <c r="AF240" s="131">
        <f t="shared" si="152"/>
        <v>77170</v>
      </c>
      <c r="AG240" s="131">
        <f t="shared" si="191"/>
        <v>0</v>
      </c>
      <c r="AH240" s="131">
        <f t="shared" si="153"/>
        <v>0</v>
      </c>
      <c r="AI240" s="131">
        <f t="shared" si="154"/>
        <v>0</v>
      </c>
      <c r="AJ240" s="131">
        <f t="shared" si="155"/>
        <v>0</v>
      </c>
      <c r="AK240" s="131">
        <f t="shared" si="156"/>
        <v>0</v>
      </c>
      <c r="AL240" s="131">
        <f t="shared" si="192"/>
        <v>0</v>
      </c>
      <c r="AM240" s="131">
        <f t="shared" si="157"/>
        <v>0</v>
      </c>
      <c r="AN240" s="131">
        <f t="shared" si="158"/>
        <v>0</v>
      </c>
      <c r="AO240" s="131">
        <f t="shared" si="159"/>
        <v>0</v>
      </c>
      <c r="AP240" s="131">
        <f t="shared" si="160"/>
        <v>0</v>
      </c>
      <c r="AQ240" s="149">
        <f t="shared" si="193"/>
        <v>970</v>
      </c>
      <c r="AR240" s="149">
        <f t="shared" si="194"/>
        <v>223775.3000000004</v>
      </c>
      <c r="AS240" s="133"/>
      <c r="AT240" s="132">
        <f t="shared" si="195"/>
        <v>188</v>
      </c>
      <c r="AU240" s="148">
        <f t="shared" si="161"/>
        <v>51379</v>
      </c>
      <c r="AV240" s="131">
        <f t="shared" si="196"/>
        <v>0</v>
      </c>
      <c r="AW240" s="131">
        <f t="shared" si="162"/>
        <v>0</v>
      </c>
      <c r="AX240" s="131">
        <f t="shared" si="163"/>
        <v>0</v>
      </c>
      <c r="AY240" s="131">
        <f t="shared" si="164"/>
        <v>0</v>
      </c>
      <c r="AZ240" s="131">
        <f t="shared" si="165"/>
        <v>0</v>
      </c>
      <c r="BA240" s="131">
        <f t="shared" si="197"/>
        <v>0</v>
      </c>
      <c r="BB240" s="131">
        <f t="shared" si="166"/>
        <v>0</v>
      </c>
      <c r="BC240" s="131">
        <f t="shared" si="167"/>
        <v>0</v>
      </c>
      <c r="BD240" s="131">
        <f t="shared" si="168"/>
        <v>0</v>
      </c>
      <c r="BE240" s="131">
        <f t="shared" si="169"/>
        <v>0</v>
      </c>
      <c r="BF240" s="131">
        <f t="shared" si="198"/>
        <v>0</v>
      </c>
      <c r="BG240" s="131">
        <f t="shared" si="170"/>
        <v>0</v>
      </c>
      <c r="BH240" s="131">
        <f t="shared" si="171"/>
        <v>0</v>
      </c>
      <c r="BI240" s="131">
        <f t="shared" si="172"/>
        <v>0</v>
      </c>
      <c r="BJ240" s="131">
        <f t="shared" si="173"/>
        <v>0</v>
      </c>
      <c r="BK240" s="131">
        <f t="shared" si="199"/>
        <v>71760</v>
      </c>
      <c r="BL240" s="131">
        <f t="shared" si="174"/>
        <v>358.8</v>
      </c>
      <c r="BM240" s="131">
        <f t="shared" si="175"/>
        <v>0</v>
      </c>
      <c r="BN240" s="131">
        <f t="shared" si="176"/>
        <v>920</v>
      </c>
      <c r="BO240" s="131">
        <f t="shared" si="177"/>
        <v>70840</v>
      </c>
      <c r="BP240" s="131">
        <f t="shared" si="200"/>
        <v>12000</v>
      </c>
      <c r="BQ240" s="131">
        <f t="shared" si="178"/>
        <v>50</v>
      </c>
      <c r="BR240" s="131">
        <f t="shared" si="179"/>
        <v>0</v>
      </c>
      <c r="BS240" s="131">
        <f t="shared" si="180"/>
        <v>0</v>
      </c>
      <c r="BT240" s="131">
        <f t="shared" si="181"/>
        <v>12000</v>
      </c>
      <c r="BU240" s="131">
        <f t="shared" si="201"/>
        <v>0</v>
      </c>
      <c r="BV240" s="131">
        <f t="shared" si="182"/>
        <v>0</v>
      </c>
      <c r="BW240" s="131">
        <f t="shared" si="183"/>
        <v>0</v>
      </c>
      <c r="BX240" s="131">
        <f t="shared" si="184"/>
        <v>0</v>
      </c>
      <c r="BY240" s="131">
        <f t="shared" si="185"/>
        <v>0</v>
      </c>
      <c r="BZ240" s="147">
        <f t="shared" si="202"/>
        <v>920</v>
      </c>
      <c r="CA240" s="147">
        <f t="shared" si="203"/>
        <v>211208.91000000012</v>
      </c>
    </row>
    <row r="241" spans="11:79">
      <c r="K241" s="152">
        <f t="shared" si="186"/>
        <v>189</v>
      </c>
      <c r="L241" s="151">
        <f t="shared" si="136"/>
        <v>51409</v>
      </c>
      <c r="M241" s="150">
        <f t="shared" si="187"/>
        <v>0</v>
      </c>
      <c r="N241" s="150">
        <f t="shared" si="137"/>
        <v>0</v>
      </c>
      <c r="O241" s="150">
        <f t="shared" si="138"/>
        <v>0</v>
      </c>
      <c r="P241" s="150">
        <f t="shared" si="139"/>
        <v>0</v>
      </c>
      <c r="Q241" s="150">
        <f t="shared" si="140"/>
        <v>0</v>
      </c>
      <c r="R241" s="150">
        <f t="shared" si="188"/>
        <v>0</v>
      </c>
      <c r="S241" s="150">
        <f t="shared" si="141"/>
        <v>0</v>
      </c>
      <c r="T241" s="150">
        <f t="shared" si="142"/>
        <v>0</v>
      </c>
      <c r="U241" s="150">
        <f t="shared" si="143"/>
        <v>0</v>
      </c>
      <c r="V241" s="150">
        <f t="shared" si="144"/>
        <v>0</v>
      </c>
      <c r="W241" s="150">
        <f t="shared" si="189"/>
        <v>0</v>
      </c>
      <c r="X241" s="150">
        <f t="shared" si="145"/>
        <v>0</v>
      </c>
      <c r="Y241" s="150">
        <f t="shared" si="146"/>
        <v>0</v>
      </c>
      <c r="Z241" s="150">
        <f t="shared" si="147"/>
        <v>0</v>
      </c>
      <c r="AA241" s="150">
        <f t="shared" si="148"/>
        <v>0</v>
      </c>
      <c r="AB241" s="150">
        <f t="shared" si="190"/>
        <v>77170</v>
      </c>
      <c r="AC241" s="150">
        <f t="shared" si="149"/>
        <v>385.85</v>
      </c>
      <c r="AD241" s="150">
        <f t="shared" si="150"/>
        <v>0</v>
      </c>
      <c r="AE241" s="150">
        <f t="shared" si="151"/>
        <v>970</v>
      </c>
      <c r="AF241" s="150">
        <f t="shared" si="152"/>
        <v>76200</v>
      </c>
      <c r="AG241" s="150">
        <f t="shared" si="191"/>
        <v>0</v>
      </c>
      <c r="AH241" s="150">
        <f t="shared" si="153"/>
        <v>0</v>
      </c>
      <c r="AI241" s="150">
        <f t="shared" si="154"/>
        <v>0</v>
      </c>
      <c r="AJ241" s="150">
        <f t="shared" si="155"/>
        <v>0</v>
      </c>
      <c r="AK241" s="150">
        <f t="shared" si="156"/>
        <v>0</v>
      </c>
      <c r="AL241" s="150">
        <f t="shared" si="192"/>
        <v>0</v>
      </c>
      <c r="AM241" s="150">
        <f t="shared" si="157"/>
        <v>0</v>
      </c>
      <c r="AN241" s="150">
        <f t="shared" si="158"/>
        <v>0</v>
      </c>
      <c r="AO241" s="150">
        <f t="shared" si="159"/>
        <v>0</v>
      </c>
      <c r="AP241" s="150">
        <f t="shared" si="160"/>
        <v>0</v>
      </c>
      <c r="AQ241" s="149">
        <f t="shared" si="193"/>
        <v>970</v>
      </c>
      <c r="AR241" s="149">
        <f t="shared" si="194"/>
        <v>224161.1500000004</v>
      </c>
      <c r="AS241" s="133"/>
      <c r="AT241" s="152">
        <f t="shared" si="195"/>
        <v>189</v>
      </c>
      <c r="AU241" s="151">
        <f t="shared" si="161"/>
        <v>51409</v>
      </c>
      <c r="AV241" s="150">
        <f t="shared" si="196"/>
        <v>0</v>
      </c>
      <c r="AW241" s="150">
        <f t="shared" si="162"/>
        <v>0</v>
      </c>
      <c r="AX241" s="150">
        <f t="shared" si="163"/>
        <v>0</v>
      </c>
      <c r="AY241" s="150">
        <f t="shared" si="164"/>
        <v>0</v>
      </c>
      <c r="AZ241" s="150">
        <f t="shared" si="165"/>
        <v>0</v>
      </c>
      <c r="BA241" s="150">
        <f t="shared" si="197"/>
        <v>0</v>
      </c>
      <c r="BB241" s="150">
        <f t="shared" si="166"/>
        <v>0</v>
      </c>
      <c r="BC241" s="150">
        <f t="shared" si="167"/>
        <v>0</v>
      </c>
      <c r="BD241" s="150">
        <f t="shared" si="168"/>
        <v>0</v>
      </c>
      <c r="BE241" s="150">
        <f t="shared" si="169"/>
        <v>0</v>
      </c>
      <c r="BF241" s="150">
        <f t="shared" si="198"/>
        <v>0</v>
      </c>
      <c r="BG241" s="150">
        <f t="shared" si="170"/>
        <v>0</v>
      </c>
      <c r="BH241" s="150">
        <f t="shared" si="171"/>
        <v>0</v>
      </c>
      <c r="BI241" s="150">
        <f t="shared" si="172"/>
        <v>0</v>
      </c>
      <c r="BJ241" s="150">
        <f t="shared" si="173"/>
        <v>0</v>
      </c>
      <c r="BK241" s="150">
        <f t="shared" si="199"/>
        <v>70840</v>
      </c>
      <c r="BL241" s="150">
        <f t="shared" si="174"/>
        <v>354.2</v>
      </c>
      <c r="BM241" s="150">
        <f t="shared" si="175"/>
        <v>0</v>
      </c>
      <c r="BN241" s="150">
        <f t="shared" si="176"/>
        <v>920</v>
      </c>
      <c r="BO241" s="150">
        <f t="shared" si="177"/>
        <v>69920</v>
      </c>
      <c r="BP241" s="150">
        <f t="shared" si="200"/>
        <v>12000</v>
      </c>
      <c r="BQ241" s="150">
        <f t="shared" si="178"/>
        <v>50</v>
      </c>
      <c r="BR241" s="150">
        <f t="shared" si="179"/>
        <v>0</v>
      </c>
      <c r="BS241" s="150">
        <f t="shared" si="180"/>
        <v>0</v>
      </c>
      <c r="BT241" s="150">
        <f t="shared" si="181"/>
        <v>12000</v>
      </c>
      <c r="BU241" s="150">
        <f t="shared" si="201"/>
        <v>0</v>
      </c>
      <c r="BV241" s="150">
        <f t="shared" si="182"/>
        <v>0</v>
      </c>
      <c r="BW241" s="150">
        <f t="shared" si="183"/>
        <v>0</v>
      </c>
      <c r="BX241" s="150">
        <f t="shared" si="184"/>
        <v>0</v>
      </c>
      <c r="BY241" s="150">
        <f t="shared" si="185"/>
        <v>0</v>
      </c>
      <c r="BZ241" s="147">
        <f t="shared" si="202"/>
        <v>920</v>
      </c>
      <c r="CA241" s="147">
        <f t="shared" si="203"/>
        <v>211613.11000000013</v>
      </c>
    </row>
    <row r="242" spans="11:79">
      <c r="K242" s="132">
        <f t="shared" si="186"/>
        <v>190</v>
      </c>
      <c r="L242" s="148">
        <f t="shared" si="136"/>
        <v>51440</v>
      </c>
      <c r="M242" s="131">
        <f t="shared" si="187"/>
        <v>0</v>
      </c>
      <c r="N242" s="131">
        <f t="shared" si="137"/>
        <v>0</v>
      </c>
      <c r="O242" s="131">
        <f t="shared" si="138"/>
        <v>0</v>
      </c>
      <c r="P242" s="131">
        <f t="shared" si="139"/>
        <v>0</v>
      </c>
      <c r="Q242" s="131">
        <f t="shared" si="140"/>
        <v>0</v>
      </c>
      <c r="R242" s="131">
        <f t="shared" si="188"/>
        <v>0</v>
      </c>
      <c r="S242" s="131">
        <f t="shared" si="141"/>
        <v>0</v>
      </c>
      <c r="T242" s="131">
        <f t="shared" si="142"/>
        <v>0</v>
      </c>
      <c r="U242" s="131">
        <f t="shared" si="143"/>
        <v>0</v>
      </c>
      <c r="V242" s="131">
        <f t="shared" si="144"/>
        <v>0</v>
      </c>
      <c r="W242" s="131">
        <f t="shared" si="189"/>
        <v>0</v>
      </c>
      <c r="X242" s="131">
        <f t="shared" si="145"/>
        <v>0</v>
      </c>
      <c r="Y242" s="131">
        <f t="shared" si="146"/>
        <v>0</v>
      </c>
      <c r="Z242" s="131">
        <f t="shared" si="147"/>
        <v>0</v>
      </c>
      <c r="AA242" s="131">
        <f t="shared" si="148"/>
        <v>0</v>
      </c>
      <c r="AB242" s="131">
        <f t="shared" si="190"/>
        <v>76200</v>
      </c>
      <c r="AC242" s="131">
        <f t="shared" si="149"/>
        <v>381</v>
      </c>
      <c r="AD242" s="131">
        <f t="shared" si="150"/>
        <v>0</v>
      </c>
      <c r="AE242" s="131">
        <f t="shared" si="151"/>
        <v>970</v>
      </c>
      <c r="AF242" s="131">
        <f t="shared" si="152"/>
        <v>75230</v>
      </c>
      <c r="AG242" s="131">
        <f t="shared" si="191"/>
        <v>0</v>
      </c>
      <c r="AH242" s="131">
        <f t="shared" si="153"/>
        <v>0</v>
      </c>
      <c r="AI242" s="131">
        <f t="shared" si="154"/>
        <v>0</v>
      </c>
      <c r="AJ242" s="131">
        <f t="shared" si="155"/>
        <v>0</v>
      </c>
      <c r="AK242" s="131">
        <f t="shared" si="156"/>
        <v>0</v>
      </c>
      <c r="AL242" s="131">
        <f t="shared" si="192"/>
        <v>0</v>
      </c>
      <c r="AM242" s="131">
        <f t="shared" si="157"/>
        <v>0</v>
      </c>
      <c r="AN242" s="131">
        <f t="shared" si="158"/>
        <v>0</v>
      </c>
      <c r="AO242" s="131">
        <f t="shared" si="159"/>
        <v>0</v>
      </c>
      <c r="AP242" s="131">
        <f t="shared" si="160"/>
        <v>0</v>
      </c>
      <c r="AQ242" s="149">
        <f t="shared" si="193"/>
        <v>970</v>
      </c>
      <c r="AR242" s="149">
        <f t="shared" si="194"/>
        <v>224542.1500000004</v>
      </c>
      <c r="AS242" s="133"/>
      <c r="AT242" s="132">
        <f t="shared" si="195"/>
        <v>190</v>
      </c>
      <c r="AU242" s="148">
        <f t="shared" si="161"/>
        <v>51440</v>
      </c>
      <c r="AV242" s="131">
        <f t="shared" si="196"/>
        <v>0</v>
      </c>
      <c r="AW242" s="131">
        <f t="shared" si="162"/>
        <v>0</v>
      </c>
      <c r="AX242" s="131">
        <f t="shared" si="163"/>
        <v>0</v>
      </c>
      <c r="AY242" s="131">
        <f t="shared" si="164"/>
        <v>0</v>
      </c>
      <c r="AZ242" s="131">
        <f t="shared" si="165"/>
        <v>0</v>
      </c>
      <c r="BA242" s="131">
        <f t="shared" si="197"/>
        <v>0</v>
      </c>
      <c r="BB242" s="131">
        <f t="shared" si="166"/>
        <v>0</v>
      </c>
      <c r="BC242" s="131">
        <f t="shared" si="167"/>
        <v>0</v>
      </c>
      <c r="BD242" s="131">
        <f t="shared" si="168"/>
        <v>0</v>
      </c>
      <c r="BE242" s="131">
        <f t="shared" si="169"/>
        <v>0</v>
      </c>
      <c r="BF242" s="131">
        <f t="shared" si="198"/>
        <v>0</v>
      </c>
      <c r="BG242" s="131">
        <f t="shared" si="170"/>
        <v>0</v>
      </c>
      <c r="BH242" s="131">
        <f t="shared" si="171"/>
        <v>0</v>
      </c>
      <c r="BI242" s="131">
        <f t="shared" si="172"/>
        <v>0</v>
      </c>
      <c r="BJ242" s="131">
        <f t="shared" si="173"/>
        <v>0</v>
      </c>
      <c r="BK242" s="131">
        <f t="shared" si="199"/>
        <v>69920</v>
      </c>
      <c r="BL242" s="131">
        <f t="shared" si="174"/>
        <v>349.6</v>
      </c>
      <c r="BM242" s="131">
        <f t="shared" si="175"/>
        <v>0.39999999999997726</v>
      </c>
      <c r="BN242" s="131">
        <f t="shared" si="176"/>
        <v>920</v>
      </c>
      <c r="BO242" s="131">
        <f t="shared" si="177"/>
        <v>68999.600000000006</v>
      </c>
      <c r="BP242" s="131">
        <f t="shared" si="200"/>
        <v>12000</v>
      </c>
      <c r="BQ242" s="131">
        <f t="shared" si="178"/>
        <v>50</v>
      </c>
      <c r="BR242" s="131">
        <f t="shared" si="179"/>
        <v>0</v>
      </c>
      <c r="BS242" s="131">
        <f t="shared" si="180"/>
        <v>0</v>
      </c>
      <c r="BT242" s="131">
        <f t="shared" si="181"/>
        <v>12000</v>
      </c>
      <c r="BU242" s="131">
        <f t="shared" si="201"/>
        <v>0</v>
      </c>
      <c r="BV242" s="131">
        <f t="shared" si="182"/>
        <v>0</v>
      </c>
      <c r="BW242" s="131">
        <f t="shared" si="183"/>
        <v>0</v>
      </c>
      <c r="BX242" s="131">
        <f t="shared" si="184"/>
        <v>0</v>
      </c>
      <c r="BY242" s="131">
        <f t="shared" si="185"/>
        <v>0</v>
      </c>
      <c r="BZ242" s="147">
        <f t="shared" si="202"/>
        <v>920</v>
      </c>
      <c r="CA242" s="147">
        <f t="shared" si="203"/>
        <v>212012.71000000014</v>
      </c>
    </row>
    <row r="243" spans="11:79">
      <c r="K243" s="152">
        <f t="shared" si="186"/>
        <v>191</v>
      </c>
      <c r="L243" s="151">
        <f t="shared" si="136"/>
        <v>51470</v>
      </c>
      <c r="M243" s="150">
        <f t="shared" si="187"/>
        <v>0</v>
      </c>
      <c r="N243" s="150">
        <f t="shared" si="137"/>
        <v>0</v>
      </c>
      <c r="O243" s="150">
        <f t="shared" si="138"/>
        <v>0</v>
      </c>
      <c r="P243" s="150">
        <f t="shared" si="139"/>
        <v>0</v>
      </c>
      <c r="Q243" s="150">
        <f t="shared" si="140"/>
        <v>0</v>
      </c>
      <c r="R243" s="150">
        <f t="shared" si="188"/>
        <v>0</v>
      </c>
      <c r="S243" s="150">
        <f t="shared" si="141"/>
        <v>0</v>
      </c>
      <c r="T243" s="150">
        <f t="shared" si="142"/>
        <v>0</v>
      </c>
      <c r="U243" s="150">
        <f t="shared" si="143"/>
        <v>0</v>
      </c>
      <c r="V243" s="150">
        <f t="shared" si="144"/>
        <v>0</v>
      </c>
      <c r="W243" s="150">
        <f t="shared" si="189"/>
        <v>0</v>
      </c>
      <c r="X243" s="150">
        <f t="shared" si="145"/>
        <v>0</v>
      </c>
      <c r="Y243" s="150">
        <f t="shared" si="146"/>
        <v>0</v>
      </c>
      <c r="Z243" s="150">
        <f t="shared" si="147"/>
        <v>0</v>
      </c>
      <c r="AA243" s="150">
        <f t="shared" si="148"/>
        <v>0</v>
      </c>
      <c r="AB243" s="150">
        <f t="shared" si="190"/>
        <v>75230</v>
      </c>
      <c r="AC243" s="150">
        <f t="shared" si="149"/>
        <v>376.15</v>
      </c>
      <c r="AD243" s="150">
        <f t="shared" si="150"/>
        <v>0</v>
      </c>
      <c r="AE243" s="150">
        <f t="shared" si="151"/>
        <v>970</v>
      </c>
      <c r="AF243" s="150">
        <f t="shared" si="152"/>
        <v>74260</v>
      </c>
      <c r="AG243" s="150">
        <f t="shared" si="191"/>
        <v>0</v>
      </c>
      <c r="AH243" s="150">
        <f t="shared" si="153"/>
        <v>0</v>
      </c>
      <c r="AI243" s="150">
        <f t="shared" si="154"/>
        <v>0</v>
      </c>
      <c r="AJ243" s="150">
        <f t="shared" si="155"/>
        <v>0</v>
      </c>
      <c r="AK243" s="150">
        <f t="shared" si="156"/>
        <v>0</v>
      </c>
      <c r="AL243" s="150">
        <f t="shared" si="192"/>
        <v>0</v>
      </c>
      <c r="AM243" s="150">
        <f t="shared" si="157"/>
        <v>0</v>
      </c>
      <c r="AN243" s="150">
        <f t="shared" si="158"/>
        <v>0</v>
      </c>
      <c r="AO243" s="150">
        <f t="shared" si="159"/>
        <v>0</v>
      </c>
      <c r="AP243" s="150">
        <f t="shared" si="160"/>
        <v>0</v>
      </c>
      <c r="AQ243" s="149">
        <f t="shared" si="193"/>
        <v>970</v>
      </c>
      <c r="AR243" s="149">
        <f t="shared" si="194"/>
        <v>224918.3000000004</v>
      </c>
      <c r="AS243" s="133"/>
      <c r="AT243" s="152">
        <f t="shared" si="195"/>
        <v>191</v>
      </c>
      <c r="AU243" s="151">
        <f t="shared" si="161"/>
        <v>51470</v>
      </c>
      <c r="AV243" s="150">
        <f t="shared" si="196"/>
        <v>0</v>
      </c>
      <c r="AW243" s="150">
        <f t="shared" si="162"/>
        <v>0</v>
      </c>
      <c r="AX243" s="150">
        <f t="shared" si="163"/>
        <v>0</v>
      </c>
      <c r="AY243" s="150">
        <f t="shared" si="164"/>
        <v>0</v>
      </c>
      <c r="AZ243" s="150">
        <f t="shared" si="165"/>
        <v>0</v>
      </c>
      <c r="BA243" s="150">
        <f t="shared" si="197"/>
        <v>0</v>
      </c>
      <c r="BB243" s="150">
        <f t="shared" si="166"/>
        <v>0</v>
      </c>
      <c r="BC243" s="150">
        <f t="shared" si="167"/>
        <v>0</v>
      </c>
      <c r="BD243" s="150">
        <f t="shared" si="168"/>
        <v>0</v>
      </c>
      <c r="BE243" s="150">
        <f t="shared" si="169"/>
        <v>0</v>
      </c>
      <c r="BF243" s="150">
        <f t="shared" si="198"/>
        <v>0</v>
      </c>
      <c r="BG243" s="150">
        <f t="shared" si="170"/>
        <v>0</v>
      </c>
      <c r="BH243" s="150">
        <f t="shared" si="171"/>
        <v>0</v>
      </c>
      <c r="BI243" s="150">
        <f t="shared" si="172"/>
        <v>0</v>
      </c>
      <c r="BJ243" s="150">
        <f t="shared" si="173"/>
        <v>0</v>
      </c>
      <c r="BK243" s="150">
        <f t="shared" si="199"/>
        <v>68999.600000000006</v>
      </c>
      <c r="BL243" s="150">
        <f t="shared" si="174"/>
        <v>345</v>
      </c>
      <c r="BM243" s="150">
        <f t="shared" si="175"/>
        <v>5</v>
      </c>
      <c r="BN243" s="150">
        <f t="shared" si="176"/>
        <v>920</v>
      </c>
      <c r="BO243" s="150">
        <f t="shared" si="177"/>
        <v>68074.600000000006</v>
      </c>
      <c r="BP243" s="150">
        <f t="shared" si="200"/>
        <v>12000</v>
      </c>
      <c r="BQ243" s="150">
        <f t="shared" si="178"/>
        <v>50</v>
      </c>
      <c r="BR243" s="150">
        <f t="shared" si="179"/>
        <v>0</v>
      </c>
      <c r="BS243" s="150">
        <f t="shared" si="180"/>
        <v>0</v>
      </c>
      <c r="BT243" s="150">
        <f t="shared" si="181"/>
        <v>12000</v>
      </c>
      <c r="BU243" s="150">
        <f t="shared" si="201"/>
        <v>0</v>
      </c>
      <c r="BV243" s="150">
        <f t="shared" si="182"/>
        <v>0</v>
      </c>
      <c r="BW243" s="150">
        <f t="shared" si="183"/>
        <v>0</v>
      </c>
      <c r="BX243" s="150">
        <f t="shared" si="184"/>
        <v>0</v>
      </c>
      <c r="BY243" s="150">
        <f t="shared" si="185"/>
        <v>0</v>
      </c>
      <c r="BZ243" s="147">
        <f t="shared" si="202"/>
        <v>920</v>
      </c>
      <c r="CA243" s="147">
        <f t="shared" si="203"/>
        <v>212407.71000000014</v>
      </c>
    </row>
    <row r="244" spans="11:79">
      <c r="K244" s="132">
        <f t="shared" si="186"/>
        <v>192</v>
      </c>
      <c r="L244" s="148">
        <f t="shared" si="136"/>
        <v>51501</v>
      </c>
      <c r="M244" s="131">
        <f t="shared" si="187"/>
        <v>0</v>
      </c>
      <c r="N244" s="131">
        <f t="shared" si="137"/>
        <v>0</v>
      </c>
      <c r="O244" s="131">
        <f t="shared" si="138"/>
        <v>0</v>
      </c>
      <c r="P244" s="131">
        <f t="shared" si="139"/>
        <v>0</v>
      </c>
      <c r="Q244" s="131">
        <f t="shared" si="140"/>
        <v>0</v>
      </c>
      <c r="R244" s="131">
        <f t="shared" si="188"/>
        <v>0</v>
      </c>
      <c r="S244" s="131">
        <f t="shared" si="141"/>
        <v>0</v>
      </c>
      <c r="T244" s="131">
        <f t="shared" si="142"/>
        <v>0</v>
      </c>
      <c r="U244" s="131">
        <f t="shared" si="143"/>
        <v>0</v>
      </c>
      <c r="V244" s="131">
        <f t="shared" si="144"/>
        <v>0</v>
      </c>
      <c r="W244" s="131">
        <f t="shared" si="189"/>
        <v>0</v>
      </c>
      <c r="X244" s="131">
        <f t="shared" si="145"/>
        <v>0</v>
      </c>
      <c r="Y244" s="131">
        <f t="shared" si="146"/>
        <v>0</v>
      </c>
      <c r="Z244" s="131">
        <f t="shared" si="147"/>
        <v>0</v>
      </c>
      <c r="AA244" s="131">
        <f t="shared" si="148"/>
        <v>0</v>
      </c>
      <c r="AB244" s="131">
        <f t="shared" si="190"/>
        <v>74260</v>
      </c>
      <c r="AC244" s="131">
        <f t="shared" si="149"/>
        <v>371.3</v>
      </c>
      <c r="AD244" s="131">
        <f t="shared" si="150"/>
        <v>0</v>
      </c>
      <c r="AE244" s="131">
        <f t="shared" si="151"/>
        <v>970</v>
      </c>
      <c r="AF244" s="131">
        <f t="shared" si="152"/>
        <v>73290</v>
      </c>
      <c r="AG244" s="131">
        <f t="shared" si="191"/>
        <v>0</v>
      </c>
      <c r="AH244" s="131">
        <f t="shared" si="153"/>
        <v>0</v>
      </c>
      <c r="AI244" s="131">
        <f t="shared" si="154"/>
        <v>0</v>
      </c>
      <c r="AJ244" s="131">
        <f t="shared" si="155"/>
        <v>0</v>
      </c>
      <c r="AK244" s="131">
        <f t="shared" si="156"/>
        <v>0</v>
      </c>
      <c r="AL244" s="131">
        <f t="shared" si="192"/>
        <v>0</v>
      </c>
      <c r="AM244" s="131">
        <f t="shared" si="157"/>
        <v>0</v>
      </c>
      <c r="AN244" s="131">
        <f t="shared" si="158"/>
        <v>0</v>
      </c>
      <c r="AO244" s="131">
        <f t="shared" si="159"/>
        <v>0</v>
      </c>
      <c r="AP244" s="131">
        <f t="shared" si="160"/>
        <v>0</v>
      </c>
      <c r="AQ244" s="149">
        <f t="shared" si="193"/>
        <v>970</v>
      </c>
      <c r="AR244" s="149">
        <f t="shared" si="194"/>
        <v>225289.60000000038</v>
      </c>
      <c r="AS244" s="133"/>
      <c r="AT244" s="132">
        <f t="shared" si="195"/>
        <v>192</v>
      </c>
      <c r="AU244" s="148">
        <f t="shared" si="161"/>
        <v>51501</v>
      </c>
      <c r="AV244" s="131">
        <f t="shared" si="196"/>
        <v>0</v>
      </c>
      <c r="AW244" s="131">
        <f t="shared" si="162"/>
        <v>0</v>
      </c>
      <c r="AX244" s="131">
        <f t="shared" si="163"/>
        <v>0</v>
      </c>
      <c r="AY244" s="131">
        <f t="shared" si="164"/>
        <v>0</v>
      </c>
      <c r="AZ244" s="131">
        <f t="shared" si="165"/>
        <v>0</v>
      </c>
      <c r="BA244" s="131">
        <f t="shared" si="197"/>
        <v>0</v>
      </c>
      <c r="BB244" s="131">
        <f t="shared" si="166"/>
        <v>0</v>
      </c>
      <c r="BC244" s="131">
        <f t="shared" si="167"/>
        <v>0</v>
      </c>
      <c r="BD244" s="131">
        <f t="shared" si="168"/>
        <v>0</v>
      </c>
      <c r="BE244" s="131">
        <f t="shared" si="169"/>
        <v>0</v>
      </c>
      <c r="BF244" s="131">
        <f t="shared" si="198"/>
        <v>0</v>
      </c>
      <c r="BG244" s="131">
        <f t="shared" si="170"/>
        <v>0</v>
      </c>
      <c r="BH244" s="131">
        <f t="shared" si="171"/>
        <v>0</v>
      </c>
      <c r="BI244" s="131">
        <f t="shared" si="172"/>
        <v>0</v>
      </c>
      <c r="BJ244" s="131">
        <f t="shared" si="173"/>
        <v>0</v>
      </c>
      <c r="BK244" s="131">
        <f t="shared" si="199"/>
        <v>68074.600000000006</v>
      </c>
      <c r="BL244" s="131">
        <f t="shared" si="174"/>
        <v>340.37</v>
      </c>
      <c r="BM244" s="131">
        <f t="shared" si="175"/>
        <v>9.6299999999999955</v>
      </c>
      <c r="BN244" s="131">
        <f t="shared" si="176"/>
        <v>920</v>
      </c>
      <c r="BO244" s="131">
        <f t="shared" si="177"/>
        <v>67144.97</v>
      </c>
      <c r="BP244" s="131">
        <f t="shared" si="200"/>
        <v>12000</v>
      </c>
      <c r="BQ244" s="131">
        <f t="shared" si="178"/>
        <v>50</v>
      </c>
      <c r="BR244" s="131">
        <f t="shared" si="179"/>
        <v>0</v>
      </c>
      <c r="BS244" s="131">
        <f t="shared" si="180"/>
        <v>0</v>
      </c>
      <c r="BT244" s="131">
        <f t="shared" si="181"/>
        <v>12000</v>
      </c>
      <c r="BU244" s="131">
        <f t="shared" si="201"/>
        <v>0</v>
      </c>
      <c r="BV244" s="131">
        <f t="shared" si="182"/>
        <v>0</v>
      </c>
      <c r="BW244" s="131">
        <f t="shared" si="183"/>
        <v>0</v>
      </c>
      <c r="BX244" s="131">
        <f t="shared" si="184"/>
        <v>0</v>
      </c>
      <c r="BY244" s="131">
        <f t="shared" si="185"/>
        <v>0</v>
      </c>
      <c r="BZ244" s="147">
        <f t="shared" si="202"/>
        <v>920</v>
      </c>
      <c r="CA244" s="147">
        <f t="shared" si="203"/>
        <v>212798.08000000013</v>
      </c>
    </row>
    <row r="245" spans="11:79">
      <c r="K245" s="152">
        <f t="shared" si="186"/>
        <v>193</v>
      </c>
      <c r="L245" s="151">
        <f t="shared" ref="L245:L308" si="204">IF(K245="","",EOMONTH(DATE(2025,1,1),K245-1))</f>
        <v>51532</v>
      </c>
      <c r="M245" s="150">
        <f t="shared" si="187"/>
        <v>0</v>
      </c>
      <c r="N245" s="150">
        <f t="shared" ref="N245:N308" si="205">IF(M245&lt;=0.01,0,ROUND(M245*$D$13/12,2))</f>
        <v>0</v>
      </c>
      <c r="O245" s="150">
        <f t="shared" ref="O245:O308" si="206">IF(M245&lt;=0.01,0,MAX(0,MIN(M245,MAX(0,$E$13-N245))))</f>
        <v>0</v>
      </c>
      <c r="P245" s="150">
        <f t="shared" ref="P245:P308" si="207">IF(M245&lt;=0.01,0,IF(($F$13=MIN(IF(M245&gt;0.01,$F$13,999),IF(R245&gt;0.01,$F$14,999),IF(W245&gt;0.01,$F$15,999),IF(AB245&gt;0.01,$F$16,999),IF(AG245&gt;0.01,$F$17,999),IF(AL245&gt;0.01,$F$18,999))),MIN(MAX(0,M245-O245),AQ245),0))</f>
        <v>0</v>
      </c>
      <c r="Q245" s="150">
        <f t="shared" ref="Q245:Q308" si="208">MAX(0,ROUND(M245-O245-P245,2))</f>
        <v>0</v>
      </c>
      <c r="R245" s="150">
        <f t="shared" si="188"/>
        <v>0</v>
      </c>
      <c r="S245" s="150">
        <f t="shared" ref="S245:S308" si="209">IF(R245&lt;=0.01,0,ROUND(R245*$D$14/12,2))</f>
        <v>0</v>
      </c>
      <c r="T245" s="150">
        <f t="shared" ref="T245:T308" si="210">IF(R245&lt;=0.01,0,MAX(0,MIN(R245,MAX(0,$E$14-S245))))</f>
        <v>0</v>
      </c>
      <c r="U245" s="150">
        <f t="shared" ref="U245:U308" si="211">IF(R245&lt;=0.01,0,IF(($F$14=MIN(IF(M245&gt;0.01,$F$13,999),IF(R245&gt;0.01,$F$14,999),IF(W245&gt;0.01,$F$15,999),IF(AB245&gt;0.01,$F$16,999),IF(AG245&gt;0.01,$F$17,999),IF(AL245&gt;0.01,$F$18,999))),MIN(MAX(0,R245-T245),AQ245),0))</f>
        <v>0</v>
      </c>
      <c r="V245" s="150">
        <f t="shared" ref="V245:V308" si="212">MAX(0,ROUND(R245-T245-U245,2))</f>
        <v>0</v>
      </c>
      <c r="W245" s="150">
        <f t="shared" si="189"/>
        <v>0</v>
      </c>
      <c r="X245" s="150">
        <f t="shared" ref="X245:X308" si="213">IF(W245&lt;=0.01,0,ROUND(W245*$D$15/12,2))</f>
        <v>0</v>
      </c>
      <c r="Y245" s="150">
        <f t="shared" ref="Y245:Y308" si="214">IF(W245&lt;=0.01,0,MAX(0,MIN(W245,MAX(0,$E$15-X245))))</f>
        <v>0</v>
      </c>
      <c r="Z245" s="150">
        <f t="shared" ref="Z245:Z308" si="215">IF(W245&lt;=0.01,0,IF(($F$15=MIN(IF(M245&gt;0.01,$F$13,999),IF(R245&gt;0.01,$F$14,999),IF(W245&gt;0.01,$F$15,999),IF(AB245&gt;0.01,$F$16,999),IF(AG245&gt;0.01,$F$17,999),IF(AL245&gt;0.01,$F$18,999))),MIN(MAX(0,W245-Y245),AQ245),0))</f>
        <v>0</v>
      </c>
      <c r="AA245" s="150">
        <f t="shared" ref="AA245:AA308" si="216">MAX(0,ROUND(W245-Y245-Z245,2))</f>
        <v>0</v>
      </c>
      <c r="AB245" s="150">
        <f t="shared" si="190"/>
        <v>73290</v>
      </c>
      <c r="AC245" s="150">
        <f t="shared" ref="AC245:AC308" si="217">IF(AB245&lt;=0.01,0,ROUND(AB245*$D$16/12,2))</f>
        <v>366.45</v>
      </c>
      <c r="AD245" s="150">
        <f t="shared" ref="AD245:AD308" si="218">IF(AB245&lt;=0.01,0,MAX(0,MIN(AB245,MAX(0,$E$16-AC245))))</f>
        <v>0</v>
      </c>
      <c r="AE245" s="150">
        <f t="shared" ref="AE245:AE308" si="219">IF(AB245&lt;=0.01,0,IF(($F$16=MIN(IF(M245&gt;0.01,$F$13,999),IF(R245&gt;0.01,$F$14,999),IF(W245&gt;0.01,$F$15,999),IF(AB245&gt;0.01,$F$16,999),IF(AG245&gt;0.01,$F$17,999),IF(AL245&gt;0.01,$F$18,999))),MIN(MAX(0,AB245-AD245),AQ245),0))</f>
        <v>970</v>
      </c>
      <c r="AF245" s="150">
        <f t="shared" ref="AF245:AF308" si="220">MAX(0,ROUND(AB245-AD245-AE245,2))</f>
        <v>72320</v>
      </c>
      <c r="AG245" s="150">
        <f t="shared" si="191"/>
        <v>0</v>
      </c>
      <c r="AH245" s="150">
        <f t="shared" ref="AH245:AH308" si="221">IF(AG245&lt;=0.01,0,ROUND(AG245*$D$17/12,2))</f>
        <v>0</v>
      </c>
      <c r="AI245" s="150">
        <f t="shared" ref="AI245:AI308" si="222">IF(AG245&lt;=0.01,0,MAX(0,MIN(AG245,MAX(0,$E$17-AH245))))</f>
        <v>0</v>
      </c>
      <c r="AJ245" s="150">
        <f t="shared" ref="AJ245:AJ308" si="223">IF(AG245&lt;=0.01,0,IF(($F$17=MIN(IF(M245&gt;0.01,$F$13,999),IF(R245&gt;0.01,$F$14,999),IF(W245&gt;0.01,$F$15,999),IF(AB245&gt;0.01,$F$16,999),IF(AG245&gt;0.01,$F$17,999),IF(AL245&gt;0.01,$F$18,999))),MIN(MAX(0,AG245-AI245),AQ245),0))</f>
        <v>0</v>
      </c>
      <c r="AK245" s="150">
        <f t="shared" ref="AK245:AK308" si="224">MAX(0,ROUND(AG245-AI245-AJ245,2))</f>
        <v>0</v>
      </c>
      <c r="AL245" s="150">
        <f t="shared" si="192"/>
        <v>0</v>
      </c>
      <c r="AM245" s="150">
        <f t="shared" ref="AM245:AM308" si="225">IF(AL245&lt;=0.01,0,ROUND(AL245*$D$18/12,2))</f>
        <v>0</v>
      </c>
      <c r="AN245" s="150">
        <f t="shared" ref="AN245:AN308" si="226">IF(AL245&lt;=0.01,0,MAX(0,MIN(AL245,MAX(0,$E$18-AM245))))</f>
        <v>0</v>
      </c>
      <c r="AO245" s="150">
        <f t="shared" ref="AO245:AO308" si="227">IF(AL245&lt;=0.01,0,IF(($F$18=MIN(IF(M245&gt;0.01,$F$13,999),IF(R245&gt;0.01,$F$14,999),IF(W245&gt;0.01,$F$15,999),IF(AB245&gt;0.01,$F$16,999),IF(AG245&gt;0.01,$F$17,999),IF(AL245&gt;0.01,$F$18,999))),MIN(MAX(0,AL245-AN245),AQ245),0))</f>
        <v>0</v>
      </c>
      <c r="AP245" s="150">
        <f t="shared" ref="AP245:AP308" si="228">MAX(0,ROUND(AL245-AN245-AO245,2))</f>
        <v>0</v>
      </c>
      <c r="AQ245" s="149">
        <f t="shared" si="193"/>
        <v>970</v>
      </c>
      <c r="AR245" s="149">
        <f t="shared" si="194"/>
        <v>225656.0500000004</v>
      </c>
      <c r="AS245" s="133"/>
      <c r="AT245" s="152">
        <f t="shared" si="195"/>
        <v>193</v>
      </c>
      <c r="AU245" s="151">
        <f t="shared" ref="AU245:AU308" si="229">IF(AT245="","",EOMONTH(DATE(2025,1,1),AT245-1))</f>
        <v>51532</v>
      </c>
      <c r="AV245" s="150">
        <f t="shared" si="196"/>
        <v>0</v>
      </c>
      <c r="AW245" s="150">
        <f t="shared" ref="AW245:AW308" si="230">IF(AV245&lt;=0.01,0,ROUND(AV245*$D$13/12,2))</f>
        <v>0</v>
      </c>
      <c r="AX245" s="150">
        <f t="shared" ref="AX245:AX308" si="231">IF(AV245&lt;=0.01,0,MAX(0,MIN(AV245,MAX(0,$E$13-AW245))))</f>
        <v>0</v>
      </c>
      <c r="AY245" s="150">
        <f t="shared" ref="AY245:AY308" si="232">IF(AV245&lt;=0.01,0,IF(($G$13=MIN(IF(AV245&gt;0.01,$G$13,999),IF(BA245&gt;0.01,$G$14,999),IF(BF245&gt;0.01,$G$15,999),IF(BK245&gt;0.01,$G$16,999),IF(BP245&gt;0.01,$G$17,999),IF(BU245&gt;0.01,$G$18,999))),MIN(MAX(0,AV245-AX245),BZ245),0))</f>
        <v>0</v>
      </c>
      <c r="AZ245" s="150">
        <f t="shared" ref="AZ245:AZ308" si="233">MAX(0,ROUND(AV245-AX245-AY245,2))</f>
        <v>0</v>
      </c>
      <c r="BA245" s="150">
        <f t="shared" si="197"/>
        <v>0</v>
      </c>
      <c r="BB245" s="150">
        <f t="shared" ref="BB245:BB308" si="234">IF(BA245&lt;=0.01,0,ROUND(BA245*$D$14/12,2))</f>
        <v>0</v>
      </c>
      <c r="BC245" s="150">
        <f t="shared" ref="BC245:BC308" si="235">IF(BA245&lt;=0.01,0,MAX(0,MIN(BA245,MAX(0,$E$14-BB245))))</f>
        <v>0</v>
      </c>
      <c r="BD245" s="150">
        <f t="shared" ref="BD245:BD308" si="236">IF(BA245&lt;=0.01,0,IF(($G$14=MIN(IF(AV245&gt;0.01,$G$13,999),IF(BA245&gt;0.01,$G$14,999),IF(BF245&gt;0.01,$G$15,999),IF(BK245&gt;0.01,$G$16,999),IF(BP245&gt;0.01,$G$17,999),IF(BU245&gt;0.01,$G$18,999))),MIN(MAX(0,BA245-BC245),BZ245),0))</f>
        <v>0</v>
      </c>
      <c r="BE245" s="150">
        <f t="shared" ref="BE245:BE308" si="237">MAX(0,ROUND(BA245-BC245-BD245,2))</f>
        <v>0</v>
      </c>
      <c r="BF245" s="150">
        <f t="shared" si="198"/>
        <v>0</v>
      </c>
      <c r="BG245" s="150">
        <f t="shared" ref="BG245:BG308" si="238">IF(BF245&lt;=0.01,0,ROUND(BF245*$D$15/12,2))</f>
        <v>0</v>
      </c>
      <c r="BH245" s="150">
        <f t="shared" ref="BH245:BH308" si="239">IF(BF245&lt;=0.01,0,MAX(0,MIN(BF245,MAX(0,$E$15-BG245))))</f>
        <v>0</v>
      </c>
      <c r="BI245" s="150">
        <f t="shared" ref="BI245:BI308" si="240">IF(BF245&lt;=0.01,0,IF(($G$15=MIN(IF(AV245&gt;0.01,$G$13,999),IF(BA245&gt;0.01,$G$14,999),IF(BF245&gt;0.01,$G$15,999),IF(BK245&gt;0.01,$G$16,999),IF(BP245&gt;0.01,$G$17,999),IF(BU245&gt;0.01,$G$18,999))),MIN(MAX(0,BF245-BH245),BZ245),0))</f>
        <v>0</v>
      </c>
      <c r="BJ245" s="150">
        <f t="shared" ref="BJ245:BJ308" si="241">MAX(0,ROUND(BF245-BH245-BI245,2))</f>
        <v>0</v>
      </c>
      <c r="BK245" s="150">
        <f t="shared" si="199"/>
        <v>67144.97</v>
      </c>
      <c r="BL245" s="150">
        <f t="shared" ref="BL245:BL308" si="242">IF(BK245&lt;=0.01,0,ROUND(BK245*$D$16/12,2))</f>
        <v>335.72</v>
      </c>
      <c r="BM245" s="150">
        <f t="shared" ref="BM245:BM308" si="243">IF(BK245&lt;=0.01,0,MAX(0,MIN(BK245,MAX(0,$E$16-BL245))))</f>
        <v>14.279999999999973</v>
      </c>
      <c r="BN245" s="150">
        <f t="shared" ref="BN245:BN308" si="244">IF(BK245&lt;=0.01,0,IF(($G$16=MIN(IF(AV245&gt;0.01,$G$13,999),IF(BA245&gt;0.01,$G$14,999),IF(BF245&gt;0.01,$G$15,999),IF(BK245&gt;0.01,$G$16,999),IF(BP245&gt;0.01,$G$17,999),IF(BU245&gt;0.01,$G$18,999))),MIN(MAX(0,BK245-BM245),BZ245),0))</f>
        <v>920</v>
      </c>
      <c r="BO245" s="150">
        <f t="shared" ref="BO245:BO308" si="245">MAX(0,ROUND(BK245-BM245-BN245,2))</f>
        <v>66210.69</v>
      </c>
      <c r="BP245" s="150">
        <f t="shared" si="200"/>
        <v>12000</v>
      </c>
      <c r="BQ245" s="150">
        <f t="shared" ref="BQ245:BQ308" si="246">IF(BP245&lt;=0.01,0,ROUND(BP245*$D$17/12,2))</f>
        <v>50</v>
      </c>
      <c r="BR245" s="150">
        <f t="shared" ref="BR245:BR308" si="247">IF(BP245&lt;=0.01,0,MAX(0,MIN(BP245,MAX(0,$E$17-BQ245))))</f>
        <v>0</v>
      </c>
      <c r="BS245" s="150">
        <f t="shared" ref="BS245:BS308" si="248">IF(BP245&lt;=0.01,0,IF(($G$17=MIN(IF(AV245&gt;0.01,$G$13,999),IF(BA245&gt;0.01,$G$14,999),IF(BF245&gt;0.01,$G$15,999),IF(BK245&gt;0.01,$G$16,999),IF(BP245&gt;0.01,$G$17,999),IF(BU245&gt;0.01,$G$18,999))),MIN(MAX(0,BP245-BR245),BZ245),0))</f>
        <v>0</v>
      </c>
      <c r="BT245" s="150">
        <f t="shared" ref="BT245:BT308" si="249">MAX(0,ROUND(BP245-BR245-BS245,2))</f>
        <v>12000</v>
      </c>
      <c r="BU245" s="150">
        <f t="shared" si="201"/>
        <v>0</v>
      </c>
      <c r="BV245" s="150">
        <f t="shared" ref="BV245:BV308" si="250">IF(BU245&lt;=0.01,0,ROUND(BU245*$D$18/12,2))</f>
        <v>0</v>
      </c>
      <c r="BW245" s="150">
        <f t="shared" ref="BW245:BW308" si="251">IF(BU245&lt;=0.01,0,MAX(0,MIN(BU245,MAX(0,$E$18-BV245))))</f>
        <v>0</v>
      </c>
      <c r="BX245" s="150">
        <f t="shared" ref="BX245:BX308" si="252">IF(BU245&lt;=0.01,0,IF(($G$18=MIN(IF(AV245&gt;0.01,$G$13,999),IF(BA245&gt;0.01,$G$14,999),IF(BF245&gt;0.01,$G$15,999),IF(BK245&gt;0.01,$G$16,999),IF(BP245&gt;0.01,$G$17,999),IF(BU245&gt;0.01,$G$18,999))),MIN(MAX(0,BU245-BW245),BZ245),0))</f>
        <v>0</v>
      </c>
      <c r="BY245" s="150">
        <f t="shared" ref="BY245:BY308" si="253">MAX(0,ROUND(BU245-BW245-BX245,2))</f>
        <v>0</v>
      </c>
      <c r="BZ245" s="147">
        <f t="shared" si="202"/>
        <v>920</v>
      </c>
      <c r="CA245" s="147">
        <f t="shared" si="203"/>
        <v>213183.80000000013</v>
      </c>
    </row>
    <row r="246" spans="11:79">
      <c r="K246" s="132">
        <f t="shared" ref="K246:K302" si="254">IF((Q245+V245+AA245+AF245+AK245+AP245)&lt;=0.01,"",K245+1)</f>
        <v>194</v>
      </c>
      <c r="L246" s="148">
        <f t="shared" si="204"/>
        <v>51560</v>
      </c>
      <c r="M246" s="131">
        <f t="shared" ref="M246:M302" si="255">MAX(0,Q245)</f>
        <v>0</v>
      </c>
      <c r="N246" s="131">
        <f t="shared" si="205"/>
        <v>0</v>
      </c>
      <c r="O246" s="131">
        <f t="shared" si="206"/>
        <v>0</v>
      </c>
      <c r="P246" s="131">
        <f t="shared" si="207"/>
        <v>0</v>
      </c>
      <c r="Q246" s="131">
        <f t="shared" si="208"/>
        <v>0</v>
      </c>
      <c r="R246" s="131">
        <f t="shared" ref="R246:R302" si="256">MAX(0,V245)</f>
        <v>0</v>
      </c>
      <c r="S246" s="131">
        <f t="shared" si="209"/>
        <v>0</v>
      </c>
      <c r="T246" s="131">
        <f t="shared" si="210"/>
        <v>0</v>
      </c>
      <c r="U246" s="131">
        <f t="shared" si="211"/>
        <v>0</v>
      </c>
      <c r="V246" s="131">
        <f t="shared" si="212"/>
        <v>0</v>
      </c>
      <c r="W246" s="131">
        <f t="shared" ref="W246:W302" si="257">MAX(0,AA245)</f>
        <v>0</v>
      </c>
      <c r="X246" s="131">
        <f t="shared" si="213"/>
        <v>0</v>
      </c>
      <c r="Y246" s="131">
        <f t="shared" si="214"/>
        <v>0</v>
      </c>
      <c r="Z246" s="131">
        <f t="shared" si="215"/>
        <v>0</v>
      </c>
      <c r="AA246" s="131">
        <f t="shared" si="216"/>
        <v>0</v>
      </c>
      <c r="AB246" s="131">
        <f t="shared" ref="AB246:AB302" si="258">MAX(0,AF245)</f>
        <v>72320</v>
      </c>
      <c r="AC246" s="131">
        <f t="shared" si="217"/>
        <v>361.6</v>
      </c>
      <c r="AD246" s="131">
        <f t="shared" si="218"/>
        <v>0</v>
      </c>
      <c r="AE246" s="131">
        <f t="shared" si="219"/>
        <v>970</v>
      </c>
      <c r="AF246" s="131">
        <f t="shared" si="220"/>
        <v>71350</v>
      </c>
      <c r="AG246" s="131">
        <f t="shared" ref="AG246:AG302" si="259">MAX(0,AK245)</f>
        <v>0</v>
      </c>
      <c r="AH246" s="131">
        <f t="shared" si="221"/>
        <v>0</v>
      </c>
      <c r="AI246" s="131">
        <f t="shared" si="222"/>
        <v>0</v>
      </c>
      <c r="AJ246" s="131">
        <f t="shared" si="223"/>
        <v>0</v>
      </c>
      <c r="AK246" s="131">
        <f t="shared" si="224"/>
        <v>0</v>
      </c>
      <c r="AL246" s="131">
        <f t="shared" ref="AL246:AL302" si="260">MAX(0,AP245)</f>
        <v>0</v>
      </c>
      <c r="AM246" s="131">
        <f t="shared" si="225"/>
        <v>0</v>
      </c>
      <c r="AN246" s="131">
        <f t="shared" si="226"/>
        <v>0</v>
      </c>
      <c r="AO246" s="131">
        <f t="shared" si="227"/>
        <v>0</v>
      </c>
      <c r="AP246" s="131">
        <f t="shared" si="228"/>
        <v>0</v>
      </c>
      <c r="AQ246" s="149">
        <f t="shared" ref="AQ246:AQ302" si="261">IF(K246="","",$C$9+IF(AND($C$13&gt;0,Q245&lt;=0.01),$E$13,0)+IF(AND($C$14&gt;0,V245&lt;=0.01),$E$14,0)+IF(AND($C$15&gt;0,AA245&lt;=0.01),$E$15,0)+IF(AND($C$16&gt;0,AF245&lt;=0.01),$E$16,0)+IF(AND($C$17&gt;0,AK245&lt;=0.01),$E$17,0)+IF(AND($C$18&gt;0,AP245&lt;=0.01),$E$18,0))</f>
        <v>970</v>
      </c>
      <c r="AR246" s="149">
        <f t="shared" ref="AR246:AR302" si="262">IFERROR(AR245+ROUND(N246+S246+X246+AC246+AH246+AM246,2),0)</f>
        <v>226017.6500000004</v>
      </c>
      <c r="AS246" s="133"/>
      <c r="AT246" s="132">
        <f t="shared" ref="AT246:AT302" si="263">IF((AZ245+BE245+BJ245+BO245+BT245+BY245)&lt;=0.01,"",AT245+1)</f>
        <v>194</v>
      </c>
      <c r="AU246" s="148">
        <f t="shared" si="229"/>
        <v>51560</v>
      </c>
      <c r="AV246" s="131">
        <f t="shared" ref="AV246:AV302" si="264">MAX(0,AZ245)</f>
        <v>0</v>
      </c>
      <c r="AW246" s="131">
        <f t="shared" si="230"/>
        <v>0</v>
      </c>
      <c r="AX246" s="131">
        <f t="shared" si="231"/>
        <v>0</v>
      </c>
      <c r="AY246" s="131">
        <f t="shared" si="232"/>
        <v>0</v>
      </c>
      <c r="AZ246" s="131">
        <f t="shared" si="233"/>
        <v>0</v>
      </c>
      <c r="BA246" s="131">
        <f t="shared" ref="BA246:BA302" si="265">MAX(0,BE245)</f>
        <v>0</v>
      </c>
      <c r="BB246" s="131">
        <f t="shared" si="234"/>
        <v>0</v>
      </c>
      <c r="BC246" s="131">
        <f t="shared" si="235"/>
        <v>0</v>
      </c>
      <c r="BD246" s="131">
        <f t="shared" si="236"/>
        <v>0</v>
      </c>
      <c r="BE246" s="131">
        <f t="shared" si="237"/>
        <v>0</v>
      </c>
      <c r="BF246" s="131">
        <f t="shared" ref="BF246:BF302" si="266">MAX(0,BJ245)</f>
        <v>0</v>
      </c>
      <c r="BG246" s="131">
        <f t="shared" si="238"/>
        <v>0</v>
      </c>
      <c r="BH246" s="131">
        <f t="shared" si="239"/>
        <v>0</v>
      </c>
      <c r="BI246" s="131">
        <f t="shared" si="240"/>
        <v>0</v>
      </c>
      <c r="BJ246" s="131">
        <f t="shared" si="241"/>
        <v>0</v>
      </c>
      <c r="BK246" s="131">
        <f t="shared" ref="BK246:BK302" si="267">MAX(0,BO245)</f>
        <v>66210.69</v>
      </c>
      <c r="BL246" s="131">
        <f t="shared" si="242"/>
        <v>331.05</v>
      </c>
      <c r="BM246" s="131">
        <f t="shared" si="243"/>
        <v>18.949999999999989</v>
      </c>
      <c r="BN246" s="131">
        <f t="shared" si="244"/>
        <v>920</v>
      </c>
      <c r="BO246" s="131">
        <f t="shared" si="245"/>
        <v>65271.74</v>
      </c>
      <c r="BP246" s="131">
        <f t="shared" ref="BP246:BP302" si="268">MAX(0,BT245)</f>
        <v>12000</v>
      </c>
      <c r="BQ246" s="131">
        <f t="shared" si="246"/>
        <v>50</v>
      </c>
      <c r="BR246" s="131">
        <f t="shared" si="247"/>
        <v>0</v>
      </c>
      <c r="BS246" s="131">
        <f t="shared" si="248"/>
        <v>0</v>
      </c>
      <c r="BT246" s="131">
        <f t="shared" si="249"/>
        <v>12000</v>
      </c>
      <c r="BU246" s="131">
        <f t="shared" ref="BU246:BU302" si="269">MAX(0,BY245)</f>
        <v>0</v>
      </c>
      <c r="BV246" s="131">
        <f t="shared" si="250"/>
        <v>0</v>
      </c>
      <c r="BW246" s="131">
        <f t="shared" si="251"/>
        <v>0</v>
      </c>
      <c r="BX246" s="131">
        <f t="shared" si="252"/>
        <v>0</v>
      </c>
      <c r="BY246" s="131">
        <f t="shared" si="253"/>
        <v>0</v>
      </c>
      <c r="BZ246" s="147">
        <f t="shared" ref="BZ246:BZ302" si="270">IF(AT246="","",$C$9+IF(AND($C$13&gt;0,AZ245&lt;=0.01),$E$13,0)+IF(AND($C$14&gt;0,BE245&lt;=0.01),$E$14,0)+IF(AND($C$15&gt;0,BJ245&lt;=0.01),$E$15,0)+IF(AND($C$16&gt;0,BO245&lt;=0.01),$E$16,0)+IF(AND($C$17&gt;0,BT245&lt;=0.01),$E$17,0)+IF(AND($C$18&gt;0,BY245&lt;=0.01),$E$18,0))</f>
        <v>920</v>
      </c>
      <c r="CA246" s="147">
        <f t="shared" ref="CA246:CA302" si="271">IFERROR(CA245+ROUND(AW246+BB246+BG246+BL246+BQ246+BV246,2),0)</f>
        <v>213564.85000000012</v>
      </c>
    </row>
    <row r="247" spans="11:79">
      <c r="K247" s="152">
        <f t="shared" si="254"/>
        <v>195</v>
      </c>
      <c r="L247" s="151">
        <f t="shared" si="204"/>
        <v>51591</v>
      </c>
      <c r="M247" s="150">
        <f t="shared" si="255"/>
        <v>0</v>
      </c>
      <c r="N247" s="150">
        <f t="shared" si="205"/>
        <v>0</v>
      </c>
      <c r="O247" s="150">
        <f t="shared" si="206"/>
        <v>0</v>
      </c>
      <c r="P247" s="150">
        <f t="shared" si="207"/>
        <v>0</v>
      </c>
      <c r="Q247" s="150">
        <f t="shared" si="208"/>
        <v>0</v>
      </c>
      <c r="R247" s="150">
        <f t="shared" si="256"/>
        <v>0</v>
      </c>
      <c r="S247" s="150">
        <f t="shared" si="209"/>
        <v>0</v>
      </c>
      <c r="T247" s="150">
        <f t="shared" si="210"/>
        <v>0</v>
      </c>
      <c r="U247" s="150">
        <f t="shared" si="211"/>
        <v>0</v>
      </c>
      <c r="V247" s="150">
        <f t="shared" si="212"/>
        <v>0</v>
      </c>
      <c r="W247" s="150">
        <f t="shared" si="257"/>
        <v>0</v>
      </c>
      <c r="X247" s="150">
        <f t="shared" si="213"/>
        <v>0</v>
      </c>
      <c r="Y247" s="150">
        <f t="shared" si="214"/>
        <v>0</v>
      </c>
      <c r="Z247" s="150">
        <f t="shared" si="215"/>
        <v>0</v>
      </c>
      <c r="AA247" s="150">
        <f t="shared" si="216"/>
        <v>0</v>
      </c>
      <c r="AB247" s="150">
        <f t="shared" si="258"/>
        <v>71350</v>
      </c>
      <c r="AC247" s="150">
        <f t="shared" si="217"/>
        <v>356.75</v>
      </c>
      <c r="AD247" s="150">
        <f t="shared" si="218"/>
        <v>0</v>
      </c>
      <c r="AE247" s="150">
        <f t="shared" si="219"/>
        <v>970</v>
      </c>
      <c r="AF247" s="150">
        <f t="shared" si="220"/>
        <v>70380</v>
      </c>
      <c r="AG247" s="150">
        <f t="shared" si="259"/>
        <v>0</v>
      </c>
      <c r="AH247" s="150">
        <f t="shared" si="221"/>
        <v>0</v>
      </c>
      <c r="AI247" s="150">
        <f t="shared" si="222"/>
        <v>0</v>
      </c>
      <c r="AJ247" s="150">
        <f t="shared" si="223"/>
        <v>0</v>
      </c>
      <c r="AK247" s="150">
        <f t="shared" si="224"/>
        <v>0</v>
      </c>
      <c r="AL247" s="150">
        <f t="shared" si="260"/>
        <v>0</v>
      </c>
      <c r="AM247" s="150">
        <f t="shared" si="225"/>
        <v>0</v>
      </c>
      <c r="AN247" s="150">
        <f t="shared" si="226"/>
        <v>0</v>
      </c>
      <c r="AO247" s="150">
        <f t="shared" si="227"/>
        <v>0</v>
      </c>
      <c r="AP247" s="150">
        <f t="shared" si="228"/>
        <v>0</v>
      </c>
      <c r="AQ247" s="149">
        <f t="shared" si="261"/>
        <v>970</v>
      </c>
      <c r="AR247" s="149">
        <f t="shared" si="262"/>
        <v>226374.4000000004</v>
      </c>
      <c r="AS247" s="133"/>
      <c r="AT247" s="152">
        <f t="shared" si="263"/>
        <v>195</v>
      </c>
      <c r="AU247" s="151">
        <f t="shared" si="229"/>
        <v>51591</v>
      </c>
      <c r="AV247" s="150">
        <f t="shared" si="264"/>
        <v>0</v>
      </c>
      <c r="AW247" s="150">
        <f t="shared" si="230"/>
        <v>0</v>
      </c>
      <c r="AX247" s="150">
        <f t="shared" si="231"/>
        <v>0</v>
      </c>
      <c r="AY247" s="150">
        <f t="shared" si="232"/>
        <v>0</v>
      </c>
      <c r="AZ247" s="150">
        <f t="shared" si="233"/>
        <v>0</v>
      </c>
      <c r="BA247" s="150">
        <f t="shared" si="265"/>
        <v>0</v>
      </c>
      <c r="BB247" s="150">
        <f t="shared" si="234"/>
        <v>0</v>
      </c>
      <c r="BC247" s="150">
        <f t="shared" si="235"/>
        <v>0</v>
      </c>
      <c r="BD247" s="150">
        <f t="shared" si="236"/>
        <v>0</v>
      </c>
      <c r="BE247" s="150">
        <f t="shared" si="237"/>
        <v>0</v>
      </c>
      <c r="BF247" s="150">
        <f t="shared" si="266"/>
        <v>0</v>
      </c>
      <c r="BG247" s="150">
        <f t="shared" si="238"/>
        <v>0</v>
      </c>
      <c r="BH247" s="150">
        <f t="shared" si="239"/>
        <v>0</v>
      </c>
      <c r="BI247" s="150">
        <f t="shared" si="240"/>
        <v>0</v>
      </c>
      <c r="BJ247" s="150">
        <f t="shared" si="241"/>
        <v>0</v>
      </c>
      <c r="BK247" s="150">
        <f t="shared" si="267"/>
        <v>65271.74</v>
      </c>
      <c r="BL247" s="150">
        <f t="shared" si="242"/>
        <v>326.36</v>
      </c>
      <c r="BM247" s="150">
        <f t="shared" si="243"/>
        <v>23.639999999999986</v>
      </c>
      <c r="BN247" s="150">
        <f t="shared" si="244"/>
        <v>920</v>
      </c>
      <c r="BO247" s="150">
        <f t="shared" si="245"/>
        <v>64328.1</v>
      </c>
      <c r="BP247" s="150">
        <f t="shared" si="268"/>
        <v>12000</v>
      </c>
      <c r="BQ247" s="150">
        <f t="shared" si="246"/>
        <v>50</v>
      </c>
      <c r="BR247" s="150">
        <f t="shared" si="247"/>
        <v>0</v>
      </c>
      <c r="BS247" s="150">
        <f t="shared" si="248"/>
        <v>0</v>
      </c>
      <c r="BT247" s="150">
        <f t="shared" si="249"/>
        <v>12000</v>
      </c>
      <c r="BU247" s="150">
        <f t="shared" si="269"/>
        <v>0</v>
      </c>
      <c r="BV247" s="150">
        <f t="shared" si="250"/>
        <v>0</v>
      </c>
      <c r="BW247" s="150">
        <f t="shared" si="251"/>
        <v>0</v>
      </c>
      <c r="BX247" s="150">
        <f t="shared" si="252"/>
        <v>0</v>
      </c>
      <c r="BY247" s="150">
        <f t="shared" si="253"/>
        <v>0</v>
      </c>
      <c r="BZ247" s="147">
        <f t="shared" si="270"/>
        <v>920</v>
      </c>
      <c r="CA247" s="147">
        <f t="shared" si="271"/>
        <v>213941.21000000011</v>
      </c>
    </row>
    <row r="248" spans="11:79">
      <c r="K248" s="132">
        <f t="shared" si="254"/>
        <v>196</v>
      </c>
      <c r="L248" s="148">
        <f t="shared" si="204"/>
        <v>51621</v>
      </c>
      <c r="M248" s="131">
        <f t="shared" si="255"/>
        <v>0</v>
      </c>
      <c r="N248" s="131">
        <f t="shared" si="205"/>
        <v>0</v>
      </c>
      <c r="O248" s="131">
        <f t="shared" si="206"/>
        <v>0</v>
      </c>
      <c r="P248" s="131">
        <f t="shared" si="207"/>
        <v>0</v>
      </c>
      <c r="Q248" s="131">
        <f t="shared" si="208"/>
        <v>0</v>
      </c>
      <c r="R248" s="131">
        <f t="shared" si="256"/>
        <v>0</v>
      </c>
      <c r="S248" s="131">
        <f t="shared" si="209"/>
        <v>0</v>
      </c>
      <c r="T248" s="131">
        <f t="shared" si="210"/>
        <v>0</v>
      </c>
      <c r="U248" s="131">
        <f t="shared" si="211"/>
        <v>0</v>
      </c>
      <c r="V248" s="131">
        <f t="shared" si="212"/>
        <v>0</v>
      </c>
      <c r="W248" s="131">
        <f t="shared" si="257"/>
        <v>0</v>
      </c>
      <c r="X248" s="131">
        <f t="shared" si="213"/>
        <v>0</v>
      </c>
      <c r="Y248" s="131">
        <f t="shared" si="214"/>
        <v>0</v>
      </c>
      <c r="Z248" s="131">
        <f t="shared" si="215"/>
        <v>0</v>
      </c>
      <c r="AA248" s="131">
        <f t="shared" si="216"/>
        <v>0</v>
      </c>
      <c r="AB248" s="131">
        <f t="shared" si="258"/>
        <v>70380</v>
      </c>
      <c r="AC248" s="131">
        <f t="shared" si="217"/>
        <v>351.9</v>
      </c>
      <c r="AD248" s="131">
        <f t="shared" si="218"/>
        <v>0</v>
      </c>
      <c r="AE248" s="131">
        <f t="shared" si="219"/>
        <v>970</v>
      </c>
      <c r="AF248" s="131">
        <f t="shared" si="220"/>
        <v>69410</v>
      </c>
      <c r="AG248" s="131">
        <f t="shared" si="259"/>
        <v>0</v>
      </c>
      <c r="AH248" s="131">
        <f t="shared" si="221"/>
        <v>0</v>
      </c>
      <c r="AI248" s="131">
        <f t="shared" si="222"/>
        <v>0</v>
      </c>
      <c r="AJ248" s="131">
        <f t="shared" si="223"/>
        <v>0</v>
      </c>
      <c r="AK248" s="131">
        <f t="shared" si="224"/>
        <v>0</v>
      </c>
      <c r="AL248" s="131">
        <f t="shared" si="260"/>
        <v>0</v>
      </c>
      <c r="AM248" s="131">
        <f t="shared" si="225"/>
        <v>0</v>
      </c>
      <c r="AN248" s="131">
        <f t="shared" si="226"/>
        <v>0</v>
      </c>
      <c r="AO248" s="131">
        <f t="shared" si="227"/>
        <v>0</v>
      </c>
      <c r="AP248" s="131">
        <f t="shared" si="228"/>
        <v>0</v>
      </c>
      <c r="AQ248" s="149">
        <f t="shared" si="261"/>
        <v>970</v>
      </c>
      <c r="AR248" s="149">
        <f t="shared" si="262"/>
        <v>226726.3000000004</v>
      </c>
      <c r="AS248" s="133"/>
      <c r="AT248" s="132">
        <f t="shared" si="263"/>
        <v>196</v>
      </c>
      <c r="AU248" s="148">
        <f t="shared" si="229"/>
        <v>51621</v>
      </c>
      <c r="AV248" s="131">
        <f t="shared" si="264"/>
        <v>0</v>
      </c>
      <c r="AW248" s="131">
        <f t="shared" si="230"/>
        <v>0</v>
      </c>
      <c r="AX248" s="131">
        <f t="shared" si="231"/>
        <v>0</v>
      </c>
      <c r="AY248" s="131">
        <f t="shared" si="232"/>
        <v>0</v>
      </c>
      <c r="AZ248" s="131">
        <f t="shared" si="233"/>
        <v>0</v>
      </c>
      <c r="BA248" s="131">
        <f t="shared" si="265"/>
        <v>0</v>
      </c>
      <c r="BB248" s="131">
        <f t="shared" si="234"/>
        <v>0</v>
      </c>
      <c r="BC248" s="131">
        <f t="shared" si="235"/>
        <v>0</v>
      </c>
      <c r="BD248" s="131">
        <f t="shared" si="236"/>
        <v>0</v>
      </c>
      <c r="BE248" s="131">
        <f t="shared" si="237"/>
        <v>0</v>
      </c>
      <c r="BF248" s="131">
        <f t="shared" si="266"/>
        <v>0</v>
      </c>
      <c r="BG248" s="131">
        <f t="shared" si="238"/>
        <v>0</v>
      </c>
      <c r="BH248" s="131">
        <f t="shared" si="239"/>
        <v>0</v>
      </c>
      <c r="BI248" s="131">
        <f t="shared" si="240"/>
        <v>0</v>
      </c>
      <c r="BJ248" s="131">
        <f t="shared" si="241"/>
        <v>0</v>
      </c>
      <c r="BK248" s="131">
        <f t="shared" si="267"/>
        <v>64328.1</v>
      </c>
      <c r="BL248" s="131">
        <f t="shared" si="242"/>
        <v>321.64</v>
      </c>
      <c r="BM248" s="131">
        <f t="shared" si="243"/>
        <v>28.360000000000014</v>
      </c>
      <c r="BN248" s="131">
        <f t="shared" si="244"/>
        <v>920</v>
      </c>
      <c r="BO248" s="131">
        <f t="shared" si="245"/>
        <v>63379.74</v>
      </c>
      <c r="BP248" s="131">
        <f t="shared" si="268"/>
        <v>12000</v>
      </c>
      <c r="BQ248" s="131">
        <f t="shared" si="246"/>
        <v>50</v>
      </c>
      <c r="BR248" s="131">
        <f t="shared" si="247"/>
        <v>0</v>
      </c>
      <c r="BS248" s="131">
        <f t="shared" si="248"/>
        <v>0</v>
      </c>
      <c r="BT248" s="131">
        <f t="shared" si="249"/>
        <v>12000</v>
      </c>
      <c r="BU248" s="131">
        <f t="shared" si="269"/>
        <v>0</v>
      </c>
      <c r="BV248" s="131">
        <f t="shared" si="250"/>
        <v>0</v>
      </c>
      <c r="BW248" s="131">
        <f t="shared" si="251"/>
        <v>0</v>
      </c>
      <c r="BX248" s="131">
        <f t="shared" si="252"/>
        <v>0</v>
      </c>
      <c r="BY248" s="131">
        <f t="shared" si="253"/>
        <v>0</v>
      </c>
      <c r="BZ248" s="147">
        <f t="shared" si="270"/>
        <v>920</v>
      </c>
      <c r="CA248" s="147">
        <f t="shared" si="271"/>
        <v>214312.85000000012</v>
      </c>
    </row>
    <row r="249" spans="11:79">
      <c r="K249" s="152">
        <f t="shared" si="254"/>
        <v>197</v>
      </c>
      <c r="L249" s="151">
        <f t="shared" si="204"/>
        <v>51652</v>
      </c>
      <c r="M249" s="150">
        <f t="shared" si="255"/>
        <v>0</v>
      </c>
      <c r="N249" s="150">
        <f t="shared" si="205"/>
        <v>0</v>
      </c>
      <c r="O249" s="150">
        <f t="shared" si="206"/>
        <v>0</v>
      </c>
      <c r="P249" s="150">
        <f t="shared" si="207"/>
        <v>0</v>
      </c>
      <c r="Q249" s="150">
        <f t="shared" si="208"/>
        <v>0</v>
      </c>
      <c r="R249" s="150">
        <f t="shared" si="256"/>
        <v>0</v>
      </c>
      <c r="S249" s="150">
        <f t="shared" si="209"/>
        <v>0</v>
      </c>
      <c r="T249" s="150">
        <f t="shared" si="210"/>
        <v>0</v>
      </c>
      <c r="U249" s="150">
        <f t="shared" si="211"/>
        <v>0</v>
      </c>
      <c r="V249" s="150">
        <f t="shared" si="212"/>
        <v>0</v>
      </c>
      <c r="W249" s="150">
        <f t="shared" si="257"/>
        <v>0</v>
      </c>
      <c r="X249" s="150">
        <f t="shared" si="213"/>
        <v>0</v>
      </c>
      <c r="Y249" s="150">
        <f t="shared" si="214"/>
        <v>0</v>
      </c>
      <c r="Z249" s="150">
        <f t="shared" si="215"/>
        <v>0</v>
      </c>
      <c r="AA249" s="150">
        <f t="shared" si="216"/>
        <v>0</v>
      </c>
      <c r="AB249" s="150">
        <f t="shared" si="258"/>
        <v>69410</v>
      </c>
      <c r="AC249" s="150">
        <f t="shared" si="217"/>
        <v>347.05</v>
      </c>
      <c r="AD249" s="150">
        <f t="shared" si="218"/>
        <v>2.9499999999999886</v>
      </c>
      <c r="AE249" s="150">
        <f t="shared" si="219"/>
        <v>970</v>
      </c>
      <c r="AF249" s="150">
        <f t="shared" si="220"/>
        <v>68437.05</v>
      </c>
      <c r="AG249" s="150">
        <f t="shared" si="259"/>
        <v>0</v>
      </c>
      <c r="AH249" s="150">
        <f t="shared" si="221"/>
        <v>0</v>
      </c>
      <c r="AI249" s="150">
        <f t="shared" si="222"/>
        <v>0</v>
      </c>
      <c r="AJ249" s="150">
        <f t="shared" si="223"/>
        <v>0</v>
      </c>
      <c r="AK249" s="150">
        <f t="shared" si="224"/>
        <v>0</v>
      </c>
      <c r="AL249" s="150">
        <f t="shared" si="260"/>
        <v>0</v>
      </c>
      <c r="AM249" s="150">
        <f t="shared" si="225"/>
        <v>0</v>
      </c>
      <c r="AN249" s="150">
        <f t="shared" si="226"/>
        <v>0</v>
      </c>
      <c r="AO249" s="150">
        <f t="shared" si="227"/>
        <v>0</v>
      </c>
      <c r="AP249" s="150">
        <f t="shared" si="228"/>
        <v>0</v>
      </c>
      <c r="AQ249" s="149">
        <f t="shared" si="261"/>
        <v>970</v>
      </c>
      <c r="AR249" s="149">
        <f t="shared" si="262"/>
        <v>227073.35000000038</v>
      </c>
      <c r="AS249" s="133"/>
      <c r="AT249" s="152">
        <f t="shared" si="263"/>
        <v>197</v>
      </c>
      <c r="AU249" s="151">
        <f t="shared" si="229"/>
        <v>51652</v>
      </c>
      <c r="AV249" s="150">
        <f t="shared" si="264"/>
        <v>0</v>
      </c>
      <c r="AW249" s="150">
        <f t="shared" si="230"/>
        <v>0</v>
      </c>
      <c r="AX249" s="150">
        <f t="shared" si="231"/>
        <v>0</v>
      </c>
      <c r="AY249" s="150">
        <f t="shared" si="232"/>
        <v>0</v>
      </c>
      <c r="AZ249" s="150">
        <f t="shared" si="233"/>
        <v>0</v>
      </c>
      <c r="BA249" s="150">
        <f t="shared" si="265"/>
        <v>0</v>
      </c>
      <c r="BB249" s="150">
        <f t="shared" si="234"/>
        <v>0</v>
      </c>
      <c r="BC249" s="150">
        <f t="shared" si="235"/>
        <v>0</v>
      </c>
      <c r="BD249" s="150">
        <f t="shared" si="236"/>
        <v>0</v>
      </c>
      <c r="BE249" s="150">
        <f t="shared" si="237"/>
        <v>0</v>
      </c>
      <c r="BF249" s="150">
        <f t="shared" si="266"/>
        <v>0</v>
      </c>
      <c r="BG249" s="150">
        <f t="shared" si="238"/>
        <v>0</v>
      </c>
      <c r="BH249" s="150">
        <f t="shared" si="239"/>
        <v>0</v>
      </c>
      <c r="BI249" s="150">
        <f t="shared" si="240"/>
        <v>0</v>
      </c>
      <c r="BJ249" s="150">
        <f t="shared" si="241"/>
        <v>0</v>
      </c>
      <c r="BK249" s="150">
        <f t="shared" si="267"/>
        <v>63379.74</v>
      </c>
      <c r="BL249" s="150">
        <f t="shared" si="242"/>
        <v>316.89999999999998</v>
      </c>
      <c r="BM249" s="150">
        <f t="shared" si="243"/>
        <v>33.100000000000023</v>
      </c>
      <c r="BN249" s="150">
        <f t="shared" si="244"/>
        <v>920</v>
      </c>
      <c r="BO249" s="150">
        <f t="shared" si="245"/>
        <v>62426.64</v>
      </c>
      <c r="BP249" s="150">
        <f t="shared" si="268"/>
        <v>12000</v>
      </c>
      <c r="BQ249" s="150">
        <f t="shared" si="246"/>
        <v>50</v>
      </c>
      <c r="BR249" s="150">
        <f t="shared" si="247"/>
        <v>0</v>
      </c>
      <c r="BS249" s="150">
        <f t="shared" si="248"/>
        <v>0</v>
      </c>
      <c r="BT249" s="150">
        <f t="shared" si="249"/>
        <v>12000</v>
      </c>
      <c r="BU249" s="150">
        <f t="shared" si="269"/>
        <v>0</v>
      </c>
      <c r="BV249" s="150">
        <f t="shared" si="250"/>
        <v>0</v>
      </c>
      <c r="BW249" s="150">
        <f t="shared" si="251"/>
        <v>0</v>
      </c>
      <c r="BX249" s="150">
        <f t="shared" si="252"/>
        <v>0</v>
      </c>
      <c r="BY249" s="150">
        <f t="shared" si="253"/>
        <v>0</v>
      </c>
      <c r="BZ249" s="147">
        <f t="shared" si="270"/>
        <v>920</v>
      </c>
      <c r="CA249" s="147">
        <f t="shared" si="271"/>
        <v>214679.75000000012</v>
      </c>
    </row>
    <row r="250" spans="11:79">
      <c r="K250" s="132">
        <f t="shared" si="254"/>
        <v>198</v>
      </c>
      <c r="L250" s="148">
        <f t="shared" si="204"/>
        <v>51682</v>
      </c>
      <c r="M250" s="131">
        <f t="shared" si="255"/>
        <v>0</v>
      </c>
      <c r="N250" s="131">
        <f t="shared" si="205"/>
        <v>0</v>
      </c>
      <c r="O250" s="131">
        <f t="shared" si="206"/>
        <v>0</v>
      </c>
      <c r="P250" s="131">
        <f t="shared" si="207"/>
        <v>0</v>
      </c>
      <c r="Q250" s="131">
        <f t="shared" si="208"/>
        <v>0</v>
      </c>
      <c r="R250" s="131">
        <f t="shared" si="256"/>
        <v>0</v>
      </c>
      <c r="S250" s="131">
        <f t="shared" si="209"/>
        <v>0</v>
      </c>
      <c r="T250" s="131">
        <f t="shared" si="210"/>
        <v>0</v>
      </c>
      <c r="U250" s="131">
        <f t="shared" si="211"/>
        <v>0</v>
      </c>
      <c r="V250" s="131">
        <f t="shared" si="212"/>
        <v>0</v>
      </c>
      <c r="W250" s="131">
        <f t="shared" si="257"/>
        <v>0</v>
      </c>
      <c r="X250" s="131">
        <f t="shared" si="213"/>
        <v>0</v>
      </c>
      <c r="Y250" s="131">
        <f t="shared" si="214"/>
        <v>0</v>
      </c>
      <c r="Z250" s="131">
        <f t="shared" si="215"/>
        <v>0</v>
      </c>
      <c r="AA250" s="131">
        <f t="shared" si="216"/>
        <v>0</v>
      </c>
      <c r="AB250" s="131">
        <f t="shared" si="258"/>
        <v>68437.05</v>
      </c>
      <c r="AC250" s="131">
        <f t="shared" si="217"/>
        <v>342.19</v>
      </c>
      <c r="AD250" s="131">
        <f t="shared" si="218"/>
        <v>7.8100000000000023</v>
      </c>
      <c r="AE250" s="131">
        <f t="shared" si="219"/>
        <v>970</v>
      </c>
      <c r="AF250" s="131">
        <f t="shared" si="220"/>
        <v>67459.240000000005</v>
      </c>
      <c r="AG250" s="131">
        <f t="shared" si="259"/>
        <v>0</v>
      </c>
      <c r="AH250" s="131">
        <f t="shared" si="221"/>
        <v>0</v>
      </c>
      <c r="AI250" s="131">
        <f t="shared" si="222"/>
        <v>0</v>
      </c>
      <c r="AJ250" s="131">
        <f t="shared" si="223"/>
        <v>0</v>
      </c>
      <c r="AK250" s="131">
        <f t="shared" si="224"/>
        <v>0</v>
      </c>
      <c r="AL250" s="131">
        <f t="shared" si="260"/>
        <v>0</v>
      </c>
      <c r="AM250" s="131">
        <f t="shared" si="225"/>
        <v>0</v>
      </c>
      <c r="AN250" s="131">
        <f t="shared" si="226"/>
        <v>0</v>
      </c>
      <c r="AO250" s="131">
        <f t="shared" si="227"/>
        <v>0</v>
      </c>
      <c r="AP250" s="131">
        <f t="shared" si="228"/>
        <v>0</v>
      </c>
      <c r="AQ250" s="149">
        <f t="shared" si="261"/>
        <v>970</v>
      </c>
      <c r="AR250" s="149">
        <f t="shared" si="262"/>
        <v>227415.54000000039</v>
      </c>
      <c r="AS250" s="133"/>
      <c r="AT250" s="132">
        <f t="shared" si="263"/>
        <v>198</v>
      </c>
      <c r="AU250" s="148">
        <f t="shared" si="229"/>
        <v>51682</v>
      </c>
      <c r="AV250" s="131">
        <f t="shared" si="264"/>
        <v>0</v>
      </c>
      <c r="AW250" s="131">
        <f t="shared" si="230"/>
        <v>0</v>
      </c>
      <c r="AX250" s="131">
        <f t="shared" si="231"/>
        <v>0</v>
      </c>
      <c r="AY250" s="131">
        <f t="shared" si="232"/>
        <v>0</v>
      </c>
      <c r="AZ250" s="131">
        <f t="shared" si="233"/>
        <v>0</v>
      </c>
      <c r="BA250" s="131">
        <f t="shared" si="265"/>
        <v>0</v>
      </c>
      <c r="BB250" s="131">
        <f t="shared" si="234"/>
        <v>0</v>
      </c>
      <c r="BC250" s="131">
        <f t="shared" si="235"/>
        <v>0</v>
      </c>
      <c r="BD250" s="131">
        <f t="shared" si="236"/>
        <v>0</v>
      </c>
      <c r="BE250" s="131">
        <f t="shared" si="237"/>
        <v>0</v>
      </c>
      <c r="BF250" s="131">
        <f t="shared" si="266"/>
        <v>0</v>
      </c>
      <c r="BG250" s="131">
        <f t="shared" si="238"/>
        <v>0</v>
      </c>
      <c r="BH250" s="131">
        <f t="shared" si="239"/>
        <v>0</v>
      </c>
      <c r="BI250" s="131">
        <f t="shared" si="240"/>
        <v>0</v>
      </c>
      <c r="BJ250" s="131">
        <f t="shared" si="241"/>
        <v>0</v>
      </c>
      <c r="BK250" s="131">
        <f t="shared" si="267"/>
        <v>62426.64</v>
      </c>
      <c r="BL250" s="131">
        <f t="shared" si="242"/>
        <v>312.13</v>
      </c>
      <c r="BM250" s="131">
        <f t="shared" si="243"/>
        <v>37.870000000000005</v>
      </c>
      <c r="BN250" s="131">
        <f t="shared" si="244"/>
        <v>920</v>
      </c>
      <c r="BO250" s="131">
        <f t="shared" si="245"/>
        <v>61468.77</v>
      </c>
      <c r="BP250" s="131">
        <f t="shared" si="268"/>
        <v>12000</v>
      </c>
      <c r="BQ250" s="131">
        <f t="shared" si="246"/>
        <v>50</v>
      </c>
      <c r="BR250" s="131">
        <f t="shared" si="247"/>
        <v>0</v>
      </c>
      <c r="BS250" s="131">
        <f t="shared" si="248"/>
        <v>0</v>
      </c>
      <c r="BT250" s="131">
        <f t="shared" si="249"/>
        <v>12000</v>
      </c>
      <c r="BU250" s="131">
        <f t="shared" si="269"/>
        <v>0</v>
      </c>
      <c r="BV250" s="131">
        <f t="shared" si="250"/>
        <v>0</v>
      </c>
      <c r="BW250" s="131">
        <f t="shared" si="251"/>
        <v>0</v>
      </c>
      <c r="BX250" s="131">
        <f t="shared" si="252"/>
        <v>0</v>
      </c>
      <c r="BY250" s="131">
        <f t="shared" si="253"/>
        <v>0</v>
      </c>
      <c r="BZ250" s="147">
        <f t="shared" si="270"/>
        <v>920</v>
      </c>
      <c r="CA250" s="147">
        <f t="shared" si="271"/>
        <v>215041.88000000012</v>
      </c>
    </row>
    <row r="251" spans="11:79">
      <c r="K251" s="152">
        <f t="shared" si="254"/>
        <v>199</v>
      </c>
      <c r="L251" s="151">
        <f t="shared" si="204"/>
        <v>51713</v>
      </c>
      <c r="M251" s="150">
        <f t="shared" si="255"/>
        <v>0</v>
      </c>
      <c r="N251" s="150">
        <f t="shared" si="205"/>
        <v>0</v>
      </c>
      <c r="O251" s="150">
        <f t="shared" si="206"/>
        <v>0</v>
      </c>
      <c r="P251" s="150">
        <f t="shared" si="207"/>
        <v>0</v>
      </c>
      <c r="Q251" s="150">
        <f t="shared" si="208"/>
        <v>0</v>
      </c>
      <c r="R251" s="150">
        <f t="shared" si="256"/>
        <v>0</v>
      </c>
      <c r="S251" s="150">
        <f t="shared" si="209"/>
        <v>0</v>
      </c>
      <c r="T251" s="150">
        <f t="shared" si="210"/>
        <v>0</v>
      </c>
      <c r="U251" s="150">
        <f t="shared" si="211"/>
        <v>0</v>
      </c>
      <c r="V251" s="150">
        <f t="shared" si="212"/>
        <v>0</v>
      </c>
      <c r="W251" s="150">
        <f t="shared" si="257"/>
        <v>0</v>
      </c>
      <c r="X251" s="150">
        <f t="shared" si="213"/>
        <v>0</v>
      </c>
      <c r="Y251" s="150">
        <f t="shared" si="214"/>
        <v>0</v>
      </c>
      <c r="Z251" s="150">
        <f t="shared" si="215"/>
        <v>0</v>
      </c>
      <c r="AA251" s="150">
        <f t="shared" si="216"/>
        <v>0</v>
      </c>
      <c r="AB251" s="150">
        <f t="shared" si="258"/>
        <v>67459.240000000005</v>
      </c>
      <c r="AC251" s="150">
        <f t="shared" si="217"/>
        <v>337.3</v>
      </c>
      <c r="AD251" s="150">
        <f t="shared" si="218"/>
        <v>12.699999999999989</v>
      </c>
      <c r="AE251" s="150">
        <f t="shared" si="219"/>
        <v>970</v>
      </c>
      <c r="AF251" s="150">
        <f t="shared" si="220"/>
        <v>66476.539999999994</v>
      </c>
      <c r="AG251" s="150">
        <f t="shared" si="259"/>
        <v>0</v>
      </c>
      <c r="AH251" s="150">
        <f t="shared" si="221"/>
        <v>0</v>
      </c>
      <c r="AI251" s="150">
        <f t="shared" si="222"/>
        <v>0</v>
      </c>
      <c r="AJ251" s="150">
        <f t="shared" si="223"/>
        <v>0</v>
      </c>
      <c r="AK251" s="150">
        <f t="shared" si="224"/>
        <v>0</v>
      </c>
      <c r="AL251" s="150">
        <f t="shared" si="260"/>
        <v>0</v>
      </c>
      <c r="AM251" s="150">
        <f t="shared" si="225"/>
        <v>0</v>
      </c>
      <c r="AN251" s="150">
        <f t="shared" si="226"/>
        <v>0</v>
      </c>
      <c r="AO251" s="150">
        <f t="shared" si="227"/>
        <v>0</v>
      </c>
      <c r="AP251" s="150">
        <f t="shared" si="228"/>
        <v>0</v>
      </c>
      <c r="AQ251" s="149">
        <f t="shared" si="261"/>
        <v>970</v>
      </c>
      <c r="AR251" s="149">
        <f t="shared" si="262"/>
        <v>227752.84000000037</v>
      </c>
      <c r="AS251" s="133"/>
      <c r="AT251" s="152">
        <f t="shared" si="263"/>
        <v>199</v>
      </c>
      <c r="AU251" s="151">
        <f t="shared" si="229"/>
        <v>51713</v>
      </c>
      <c r="AV251" s="150">
        <f t="shared" si="264"/>
        <v>0</v>
      </c>
      <c r="AW251" s="150">
        <f t="shared" si="230"/>
        <v>0</v>
      </c>
      <c r="AX251" s="150">
        <f t="shared" si="231"/>
        <v>0</v>
      </c>
      <c r="AY251" s="150">
        <f t="shared" si="232"/>
        <v>0</v>
      </c>
      <c r="AZ251" s="150">
        <f t="shared" si="233"/>
        <v>0</v>
      </c>
      <c r="BA251" s="150">
        <f t="shared" si="265"/>
        <v>0</v>
      </c>
      <c r="BB251" s="150">
        <f t="shared" si="234"/>
        <v>0</v>
      </c>
      <c r="BC251" s="150">
        <f t="shared" si="235"/>
        <v>0</v>
      </c>
      <c r="BD251" s="150">
        <f t="shared" si="236"/>
        <v>0</v>
      </c>
      <c r="BE251" s="150">
        <f t="shared" si="237"/>
        <v>0</v>
      </c>
      <c r="BF251" s="150">
        <f t="shared" si="266"/>
        <v>0</v>
      </c>
      <c r="BG251" s="150">
        <f t="shared" si="238"/>
        <v>0</v>
      </c>
      <c r="BH251" s="150">
        <f t="shared" si="239"/>
        <v>0</v>
      </c>
      <c r="BI251" s="150">
        <f t="shared" si="240"/>
        <v>0</v>
      </c>
      <c r="BJ251" s="150">
        <f t="shared" si="241"/>
        <v>0</v>
      </c>
      <c r="BK251" s="150">
        <f t="shared" si="267"/>
        <v>61468.77</v>
      </c>
      <c r="BL251" s="150">
        <f t="shared" si="242"/>
        <v>307.33999999999997</v>
      </c>
      <c r="BM251" s="150">
        <f t="shared" si="243"/>
        <v>42.660000000000025</v>
      </c>
      <c r="BN251" s="150">
        <f t="shared" si="244"/>
        <v>920</v>
      </c>
      <c r="BO251" s="150">
        <f t="shared" si="245"/>
        <v>60506.11</v>
      </c>
      <c r="BP251" s="150">
        <f t="shared" si="268"/>
        <v>12000</v>
      </c>
      <c r="BQ251" s="150">
        <f t="shared" si="246"/>
        <v>50</v>
      </c>
      <c r="BR251" s="150">
        <f t="shared" si="247"/>
        <v>0</v>
      </c>
      <c r="BS251" s="150">
        <f t="shared" si="248"/>
        <v>0</v>
      </c>
      <c r="BT251" s="150">
        <f t="shared" si="249"/>
        <v>12000</v>
      </c>
      <c r="BU251" s="150">
        <f t="shared" si="269"/>
        <v>0</v>
      </c>
      <c r="BV251" s="150">
        <f t="shared" si="250"/>
        <v>0</v>
      </c>
      <c r="BW251" s="150">
        <f t="shared" si="251"/>
        <v>0</v>
      </c>
      <c r="BX251" s="150">
        <f t="shared" si="252"/>
        <v>0</v>
      </c>
      <c r="BY251" s="150">
        <f t="shared" si="253"/>
        <v>0</v>
      </c>
      <c r="BZ251" s="147">
        <f t="shared" si="270"/>
        <v>920</v>
      </c>
      <c r="CA251" s="147">
        <f t="shared" si="271"/>
        <v>215399.22000000012</v>
      </c>
    </row>
    <row r="252" spans="11:79">
      <c r="K252" s="132">
        <f t="shared" si="254"/>
        <v>200</v>
      </c>
      <c r="L252" s="148">
        <f t="shared" si="204"/>
        <v>51744</v>
      </c>
      <c r="M252" s="131">
        <f t="shared" si="255"/>
        <v>0</v>
      </c>
      <c r="N252" s="131">
        <f t="shared" si="205"/>
        <v>0</v>
      </c>
      <c r="O252" s="131">
        <f t="shared" si="206"/>
        <v>0</v>
      </c>
      <c r="P252" s="131">
        <f t="shared" si="207"/>
        <v>0</v>
      </c>
      <c r="Q252" s="131">
        <f t="shared" si="208"/>
        <v>0</v>
      </c>
      <c r="R252" s="131">
        <f t="shared" si="256"/>
        <v>0</v>
      </c>
      <c r="S252" s="131">
        <f t="shared" si="209"/>
        <v>0</v>
      </c>
      <c r="T252" s="131">
        <f t="shared" si="210"/>
        <v>0</v>
      </c>
      <c r="U252" s="131">
        <f t="shared" si="211"/>
        <v>0</v>
      </c>
      <c r="V252" s="131">
        <f t="shared" si="212"/>
        <v>0</v>
      </c>
      <c r="W252" s="131">
        <f t="shared" si="257"/>
        <v>0</v>
      </c>
      <c r="X252" s="131">
        <f t="shared" si="213"/>
        <v>0</v>
      </c>
      <c r="Y252" s="131">
        <f t="shared" si="214"/>
        <v>0</v>
      </c>
      <c r="Z252" s="131">
        <f t="shared" si="215"/>
        <v>0</v>
      </c>
      <c r="AA252" s="131">
        <f t="shared" si="216"/>
        <v>0</v>
      </c>
      <c r="AB252" s="131">
        <f t="shared" si="258"/>
        <v>66476.539999999994</v>
      </c>
      <c r="AC252" s="131">
        <f t="shared" si="217"/>
        <v>332.38</v>
      </c>
      <c r="AD252" s="131">
        <f t="shared" si="218"/>
        <v>17.620000000000005</v>
      </c>
      <c r="AE252" s="131">
        <f t="shared" si="219"/>
        <v>970</v>
      </c>
      <c r="AF252" s="131">
        <f t="shared" si="220"/>
        <v>65488.92</v>
      </c>
      <c r="AG252" s="131">
        <f t="shared" si="259"/>
        <v>0</v>
      </c>
      <c r="AH252" s="131">
        <f t="shared" si="221"/>
        <v>0</v>
      </c>
      <c r="AI252" s="131">
        <f t="shared" si="222"/>
        <v>0</v>
      </c>
      <c r="AJ252" s="131">
        <f t="shared" si="223"/>
        <v>0</v>
      </c>
      <c r="AK252" s="131">
        <f t="shared" si="224"/>
        <v>0</v>
      </c>
      <c r="AL252" s="131">
        <f t="shared" si="260"/>
        <v>0</v>
      </c>
      <c r="AM252" s="131">
        <f t="shared" si="225"/>
        <v>0</v>
      </c>
      <c r="AN252" s="131">
        <f t="shared" si="226"/>
        <v>0</v>
      </c>
      <c r="AO252" s="131">
        <f t="shared" si="227"/>
        <v>0</v>
      </c>
      <c r="AP252" s="131">
        <f t="shared" si="228"/>
        <v>0</v>
      </c>
      <c r="AQ252" s="149">
        <f t="shared" si="261"/>
        <v>970</v>
      </c>
      <c r="AR252" s="149">
        <f t="shared" si="262"/>
        <v>228085.22000000038</v>
      </c>
      <c r="AS252" s="133"/>
      <c r="AT252" s="132">
        <f t="shared" si="263"/>
        <v>200</v>
      </c>
      <c r="AU252" s="148">
        <f t="shared" si="229"/>
        <v>51744</v>
      </c>
      <c r="AV252" s="131">
        <f t="shared" si="264"/>
        <v>0</v>
      </c>
      <c r="AW252" s="131">
        <f t="shared" si="230"/>
        <v>0</v>
      </c>
      <c r="AX252" s="131">
        <f t="shared" si="231"/>
        <v>0</v>
      </c>
      <c r="AY252" s="131">
        <f t="shared" si="232"/>
        <v>0</v>
      </c>
      <c r="AZ252" s="131">
        <f t="shared" si="233"/>
        <v>0</v>
      </c>
      <c r="BA252" s="131">
        <f t="shared" si="265"/>
        <v>0</v>
      </c>
      <c r="BB252" s="131">
        <f t="shared" si="234"/>
        <v>0</v>
      </c>
      <c r="BC252" s="131">
        <f t="shared" si="235"/>
        <v>0</v>
      </c>
      <c r="BD252" s="131">
        <f t="shared" si="236"/>
        <v>0</v>
      </c>
      <c r="BE252" s="131">
        <f t="shared" si="237"/>
        <v>0</v>
      </c>
      <c r="BF252" s="131">
        <f t="shared" si="266"/>
        <v>0</v>
      </c>
      <c r="BG252" s="131">
        <f t="shared" si="238"/>
        <v>0</v>
      </c>
      <c r="BH252" s="131">
        <f t="shared" si="239"/>
        <v>0</v>
      </c>
      <c r="BI252" s="131">
        <f t="shared" si="240"/>
        <v>0</v>
      </c>
      <c r="BJ252" s="131">
        <f t="shared" si="241"/>
        <v>0</v>
      </c>
      <c r="BK252" s="131">
        <f t="shared" si="267"/>
        <v>60506.11</v>
      </c>
      <c r="BL252" s="131">
        <f t="shared" si="242"/>
        <v>302.52999999999997</v>
      </c>
      <c r="BM252" s="131">
        <f t="shared" si="243"/>
        <v>47.470000000000027</v>
      </c>
      <c r="BN252" s="131">
        <f t="shared" si="244"/>
        <v>920</v>
      </c>
      <c r="BO252" s="131">
        <f t="shared" si="245"/>
        <v>59538.64</v>
      </c>
      <c r="BP252" s="131">
        <f t="shared" si="268"/>
        <v>12000</v>
      </c>
      <c r="BQ252" s="131">
        <f t="shared" si="246"/>
        <v>50</v>
      </c>
      <c r="BR252" s="131">
        <f t="shared" si="247"/>
        <v>0</v>
      </c>
      <c r="BS252" s="131">
        <f t="shared" si="248"/>
        <v>0</v>
      </c>
      <c r="BT252" s="131">
        <f t="shared" si="249"/>
        <v>12000</v>
      </c>
      <c r="BU252" s="131">
        <f t="shared" si="269"/>
        <v>0</v>
      </c>
      <c r="BV252" s="131">
        <f t="shared" si="250"/>
        <v>0</v>
      </c>
      <c r="BW252" s="131">
        <f t="shared" si="251"/>
        <v>0</v>
      </c>
      <c r="BX252" s="131">
        <f t="shared" si="252"/>
        <v>0</v>
      </c>
      <c r="BY252" s="131">
        <f t="shared" si="253"/>
        <v>0</v>
      </c>
      <c r="BZ252" s="147">
        <f t="shared" si="270"/>
        <v>920</v>
      </c>
      <c r="CA252" s="147">
        <f t="shared" si="271"/>
        <v>215751.75000000012</v>
      </c>
    </row>
    <row r="253" spans="11:79">
      <c r="K253" s="152">
        <f t="shared" si="254"/>
        <v>201</v>
      </c>
      <c r="L253" s="151">
        <f t="shared" si="204"/>
        <v>51774</v>
      </c>
      <c r="M253" s="150">
        <f t="shared" si="255"/>
        <v>0</v>
      </c>
      <c r="N253" s="150">
        <f t="shared" si="205"/>
        <v>0</v>
      </c>
      <c r="O253" s="150">
        <f t="shared" si="206"/>
        <v>0</v>
      </c>
      <c r="P253" s="150">
        <f t="shared" si="207"/>
        <v>0</v>
      </c>
      <c r="Q253" s="150">
        <f t="shared" si="208"/>
        <v>0</v>
      </c>
      <c r="R253" s="150">
        <f t="shared" si="256"/>
        <v>0</v>
      </c>
      <c r="S253" s="150">
        <f t="shared" si="209"/>
        <v>0</v>
      </c>
      <c r="T253" s="150">
        <f t="shared" si="210"/>
        <v>0</v>
      </c>
      <c r="U253" s="150">
        <f t="shared" si="211"/>
        <v>0</v>
      </c>
      <c r="V253" s="150">
        <f t="shared" si="212"/>
        <v>0</v>
      </c>
      <c r="W253" s="150">
        <f t="shared" si="257"/>
        <v>0</v>
      </c>
      <c r="X253" s="150">
        <f t="shared" si="213"/>
        <v>0</v>
      </c>
      <c r="Y253" s="150">
        <f t="shared" si="214"/>
        <v>0</v>
      </c>
      <c r="Z253" s="150">
        <f t="shared" si="215"/>
        <v>0</v>
      </c>
      <c r="AA253" s="150">
        <f t="shared" si="216"/>
        <v>0</v>
      </c>
      <c r="AB253" s="150">
        <f t="shared" si="258"/>
        <v>65488.92</v>
      </c>
      <c r="AC253" s="150">
        <f t="shared" si="217"/>
        <v>327.44</v>
      </c>
      <c r="AD253" s="150">
        <f t="shared" si="218"/>
        <v>22.560000000000002</v>
      </c>
      <c r="AE253" s="150">
        <f t="shared" si="219"/>
        <v>970</v>
      </c>
      <c r="AF253" s="150">
        <f t="shared" si="220"/>
        <v>64496.36</v>
      </c>
      <c r="AG253" s="150">
        <f t="shared" si="259"/>
        <v>0</v>
      </c>
      <c r="AH253" s="150">
        <f t="shared" si="221"/>
        <v>0</v>
      </c>
      <c r="AI253" s="150">
        <f t="shared" si="222"/>
        <v>0</v>
      </c>
      <c r="AJ253" s="150">
        <f t="shared" si="223"/>
        <v>0</v>
      </c>
      <c r="AK253" s="150">
        <f t="shared" si="224"/>
        <v>0</v>
      </c>
      <c r="AL253" s="150">
        <f t="shared" si="260"/>
        <v>0</v>
      </c>
      <c r="AM253" s="150">
        <f t="shared" si="225"/>
        <v>0</v>
      </c>
      <c r="AN253" s="150">
        <f t="shared" si="226"/>
        <v>0</v>
      </c>
      <c r="AO253" s="150">
        <f t="shared" si="227"/>
        <v>0</v>
      </c>
      <c r="AP253" s="150">
        <f t="shared" si="228"/>
        <v>0</v>
      </c>
      <c r="AQ253" s="149">
        <f t="shared" si="261"/>
        <v>970</v>
      </c>
      <c r="AR253" s="149">
        <f t="shared" si="262"/>
        <v>228412.66000000038</v>
      </c>
      <c r="AS253" s="133"/>
      <c r="AT253" s="152">
        <f t="shared" si="263"/>
        <v>201</v>
      </c>
      <c r="AU253" s="151">
        <f t="shared" si="229"/>
        <v>51774</v>
      </c>
      <c r="AV253" s="150">
        <f t="shared" si="264"/>
        <v>0</v>
      </c>
      <c r="AW253" s="150">
        <f t="shared" si="230"/>
        <v>0</v>
      </c>
      <c r="AX253" s="150">
        <f t="shared" si="231"/>
        <v>0</v>
      </c>
      <c r="AY253" s="150">
        <f t="shared" si="232"/>
        <v>0</v>
      </c>
      <c r="AZ253" s="150">
        <f t="shared" si="233"/>
        <v>0</v>
      </c>
      <c r="BA253" s="150">
        <f t="shared" si="265"/>
        <v>0</v>
      </c>
      <c r="BB253" s="150">
        <f t="shared" si="234"/>
        <v>0</v>
      </c>
      <c r="BC253" s="150">
        <f t="shared" si="235"/>
        <v>0</v>
      </c>
      <c r="BD253" s="150">
        <f t="shared" si="236"/>
        <v>0</v>
      </c>
      <c r="BE253" s="150">
        <f t="shared" si="237"/>
        <v>0</v>
      </c>
      <c r="BF253" s="150">
        <f t="shared" si="266"/>
        <v>0</v>
      </c>
      <c r="BG253" s="150">
        <f t="shared" si="238"/>
        <v>0</v>
      </c>
      <c r="BH253" s="150">
        <f t="shared" si="239"/>
        <v>0</v>
      </c>
      <c r="BI253" s="150">
        <f t="shared" si="240"/>
        <v>0</v>
      </c>
      <c r="BJ253" s="150">
        <f t="shared" si="241"/>
        <v>0</v>
      </c>
      <c r="BK253" s="150">
        <f t="shared" si="267"/>
        <v>59538.64</v>
      </c>
      <c r="BL253" s="150">
        <f t="shared" si="242"/>
        <v>297.69</v>
      </c>
      <c r="BM253" s="150">
        <f t="shared" si="243"/>
        <v>52.31</v>
      </c>
      <c r="BN253" s="150">
        <f t="shared" si="244"/>
        <v>920</v>
      </c>
      <c r="BO253" s="150">
        <f t="shared" si="245"/>
        <v>58566.33</v>
      </c>
      <c r="BP253" s="150">
        <f t="shared" si="268"/>
        <v>12000</v>
      </c>
      <c r="BQ253" s="150">
        <f t="shared" si="246"/>
        <v>50</v>
      </c>
      <c r="BR253" s="150">
        <f t="shared" si="247"/>
        <v>0</v>
      </c>
      <c r="BS253" s="150">
        <f t="shared" si="248"/>
        <v>0</v>
      </c>
      <c r="BT253" s="150">
        <f t="shared" si="249"/>
        <v>12000</v>
      </c>
      <c r="BU253" s="150">
        <f t="shared" si="269"/>
        <v>0</v>
      </c>
      <c r="BV253" s="150">
        <f t="shared" si="250"/>
        <v>0</v>
      </c>
      <c r="BW253" s="150">
        <f t="shared" si="251"/>
        <v>0</v>
      </c>
      <c r="BX253" s="150">
        <f t="shared" si="252"/>
        <v>0</v>
      </c>
      <c r="BY253" s="150">
        <f t="shared" si="253"/>
        <v>0</v>
      </c>
      <c r="BZ253" s="147">
        <f t="shared" si="270"/>
        <v>920</v>
      </c>
      <c r="CA253" s="147">
        <f t="shared" si="271"/>
        <v>216099.44000000012</v>
      </c>
    </row>
    <row r="254" spans="11:79">
      <c r="K254" s="132">
        <f t="shared" si="254"/>
        <v>202</v>
      </c>
      <c r="L254" s="148">
        <f t="shared" si="204"/>
        <v>51805</v>
      </c>
      <c r="M254" s="131">
        <f t="shared" si="255"/>
        <v>0</v>
      </c>
      <c r="N254" s="131">
        <f t="shared" si="205"/>
        <v>0</v>
      </c>
      <c r="O254" s="131">
        <f t="shared" si="206"/>
        <v>0</v>
      </c>
      <c r="P254" s="131">
        <f t="shared" si="207"/>
        <v>0</v>
      </c>
      <c r="Q254" s="131">
        <f t="shared" si="208"/>
        <v>0</v>
      </c>
      <c r="R254" s="131">
        <f t="shared" si="256"/>
        <v>0</v>
      </c>
      <c r="S254" s="131">
        <f t="shared" si="209"/>
        <v>0</v>
      </c>
      <c r="T254" s="131">
        <f t="shared" si="210"/>
        <v>0</v>
      </c>
      <c r="U254" s="131">
        <f t="shared" si="211"/>
        <v>0</v>
      </c>
      <c r="V254" s="131">
        <f t="shared" si="212"/>
        <v>0</v>
      </c>
      <c r="W254" s="131">
        <f t="shared" si="257"/>
        <v>0</v>
      </c>
      <c r="X254" s="131">
        <f t="shared" si="213"/>
        <v>0</v>
      </c>
      <c r="Y254" s="131">
        <f t="shared" si="214"/>
        <v>0</v>
      </c>
      <c r="Z254" s="131">
        <f t="shared" si="215"/>
        <v>0</v>
      </c>
      <c r="AA254" s="131">
        <f t="shared" si="216"/>
        <v>0</v>
      </c>
      <c r="AB254" s="131">
        <f t="shared" si="258"/>
        <v>64496.36</v>
      </c>
      <c r="AC254" s="131">
        <f t="shared" si="217"/>
        <v>322.48</v>
      </c>
      <c r="AD254" s="131">
        <f t="shared" si="218"/>
        <v>27.519999999999982</v>
      </c>
      <c r="AE254" s="131">
        <f t="shared" si="219"/>
        <v>970</v>
      </c>
      <c r="AF254" s="131">
        <f t="shared" si="220"/>
        <v>63498.84</v>
      </c>
      <c r="AG254" s="131">
        <f t="shared" si="259"/>
        <v>0</v>
      </c>
      <c r="AH254" s="131">
        <f t="shared" si="221"/>
        <v>0</v>
      </c>
      <c r="AI254" s="131">
        <f t="shared" si="222"/>
        <v>0</v>
      </c>
      <c r="AJ254" s="131">
        <f t="shared" si="223"/>
        <v>0</v>
      </c>
      <c r="AK254" s="131">
        <f t="shared" si="224"/>
        <v>0</v>
      </c>
      <c r="AL254" s="131">
        <f t="shared" si="260"/>
        <v>0</v>
      </c>
      <c r="AM254" s="131">
        <f t="shared" si="225"/>
        <v>0</v>
      </c>
      <c r="AN254" s="131">
        <f t="shared" si="226"/>
        <v>0</v>
      </c>
      <c r="AO254" s="131">
        <f t="shared" si="227"/>
        <v>0</v>
      </c>
      <c r="AP254" s="131">
        <f t="shared" si="228"/>
        <v>0</v>
      </c>
      <c r="AQ254" s="149">
        <f t="shared" si="261"/>
        <v>970</v>
      </c>
      <c r="AR254" s="149">
        <f t="shared" si="262"/>
        <v>228735.14000000039</v>
      </c>
      <c r="AS254" s="133"/>
      <c r="AT254" s="132">
        <f t="shared" si="263"/>
        <v>202</v>
      </c>
      <c r="AU254" s="148">
        <f t="shared" si="229"/>
        <v>51805</v>
      </c>
      <c r="AV254" s="131">
        <f t="shared" si="264"/>
        <v>0</v>
      </c>
      <c r="AW254" s="131">
        <f t="shared" si="230"/>
        <v>0</v>
      </c>
      <c r="AX254" s="131">
        <f t="shared" si="231"/>
        <v>0</v>
      </c>
      <c r="AY254" s="131">
        <f t="shared" si="232"/>
        <v>0</v>
      </c>
      <c r="AZ254" s="131">
        <f t="shared" si="233"/>
        <v>0</v>
      </c>
      <c r="BA254" s="131">
        <f t="shared" si="265"/>
        <v>0</v>
      </c>
      <c r="BB254" s="131">
        <f t="shared" si="234"/>
        <v>0</v>
      </c>
      <c r="BC254" s="131">
        <f t="shared" si="235"/>
        <v>0</v>
      </c>
      <c r="BD254" s="131">
        <f t="shared" si="236"/>
        <v>0</v>
      </c>
      <c r="BE254" s="131">
        <f t="shared" si="237"/>
        <v>0</v>
      </c>
      <c r="BF254" s="131">
        <f t="shared" si="266"/>
        <v>0</v>
      </c>
      <c r="BG254" s="131">
        <f t="shared" si="238"/>
        <v>0</v>
      </c>
      <c r="BH254" s="131">
        <f t="shared" si="239"/>
        <v>0</v>
      </c>
      <c r="BI254" s="131">
        <f t="shared" si="240"/>
        <v>0</v>
      </c>
      <c r="BJ254" s="131">
        <f t="shared" si="241"/>
        <v>0</v>
      </c>
      <c r="BK254" s="131">
        <f t="shared" si="267"/>
        <v>58566.33</v>
      </c>
      <c r="BL254" s="131">
        <f t="shared" si="242"/>
        <v>292.83</v>
      </c>
      <c r="BM254" s="131">
        <f t="shared" si="243"/>
        <v>57.170000000000016</v>
      </c>
      <c r="BN254" s="131">
        <f t="shared" si="244"/>
        <v>920</v>
      </c>
      <c r="BO254" s="131">
        <f t="shared" si="245"/>
        <v>57589.16</v>
      </c>
      <c r="BP254" s="131">
        <f t="shared" si="268"/>
        <v>12000</v>
      </c>
      <c r="BQ254" s="131">
        <f t="shared" si="246"/>
        <v>50</v>
      </c>
      <c r="BR254" s="131">
        <f t="shared" si="247"/>
        <v>0</v>
      </c>
      <c r="BS254" s="131">
        <f t="shared" si="248"/>
        <v>0</v>
      </c>
      <c r="BT254" s="131">
        <f t="shared" si="249"/>
        <v>12000</v>
      </c>
      <c r="BU254" s="131">
        <f t="shared" si="269"/>
        <v>0</v>
      </c>
      <c r="BV254" s="131">
        <f t="shared" si="250"/>
        <v>0</v>
      </c>
      <c r="BW254" s="131">
        <f t="shared" si="251"/>
        <v>0</v>
      </c>
      <c r="BX254" s="131">
        <f t="shared" si="252"/>
        <v>0</v>
      </c>
      <c r="BY254" s="131">
        <f t="shared" si="253"/>
        <v>0</v>
      </c>
      <c r="BZ254" s="147">
        <f t="shared" si="270"/>
        <v>920</v>
      </c>
      <c r="CA254" s="147">
        <f t="shared" si="271"/>
        <v>216442.27000000011</v>
      </c>
    </row>
    <row r="255" spans="11:79">
      <c r="K255" s="152">
        <f t="shared" si="254"/>
        <v>203</v>
      </c>
      <c r="L255" s="151">
        <f t="shared" si="204"/>
        <v>51835</v>
      </c>
      <c r="M255" s="150">
        <f t="shared" si="255"/>
        <v>0</v>
      </c>
      <c r="N255" s="150">
        <f t="shared" si="205"/>
        <v>0</v>
      </c>
      <c r="O255" s="150">
        <f t="shared" si="206"/>
        <v>0</v>
      </c>
      <c r="P255" s="150">
        <f t="shared" si="207"/>
        <v>0</v>
      </c>
      <c r="Q255" s="150">
        <f t="shared" si="208"/>
        <v>0</v>
      </c>
      <c r="R255" s="150">
        <f t="shared" si="256"/>
        <v>0</v>
      </c>
      <c r="S255" s="150">
        <f t="shared" si="209"/>
        <v>0</v>
      </c>
      <c r="T255" s="150">
        <f t="shared" si="210"/>
        <v>0</v>
      </c>
      <c r="U255" s="150">
        <f t="shared" si="211"/>
        <v>0</v>
      </c>
      <c r="V255" s="150">
        <f t="shared" si="212"/>
        <v>0</v>
      </c>
      <c r="W255" s="150">
        <f t="shared" si="257"/>
        <v>0</v>
      </c>
      <c r="X255" s="150">
        <f t="shared" si="213"/>
        <v>0</v>
      </c>
      <c r="Y255" s="150">
        <f t="shared" si="214"/>
        <v>0</v>
      </c>
      <c r="Z255" s="150">
        <f t="shared" si="215"/>
        <v>0</v>
      </c>
      <c r="AA255" s="150">
        <f t="shared" si="216"/>
        <v>0</v>
      </c>
      <c r="AB255" s="150">
        <f t="shared" si="258"/>
        <v>63498.84</v>
      </c>
      <c r="AC255" s="150">
        <f t="shared" si="217"/>
        <v>317.49</v>
      </c>
      <c r="AD255" s="150">
        <f t="shared" si="218"/>
        <v>32.509999999999991</v>
      </c>
      <c r="AE255" s="150">
        <f t="shared" si="219"/>
        <v>970</v>
      </c>
      <c r="AF255" s="150">
        <f t="shared" si="220"/>
        <v>62496.33</v>
      </c>
      <c r="AG255" s="150">
        <f t="shared" si="259"/>
        <v>0</v>
      </c>
      <c r="AH255" s="150">
        <f t="shared" si="221"/>
        <v>0</v>
      </c>
      <c r="AI255" s="150">
        <f t="shared" si="222"/>
        <v>0</v>
      </c>
      <c r="AJ255" s="150">
        <f t="shared" si="223"/>
        <v>0</v>
      </c>
      <c r="AK255" s="150">
        <f t="shared" si="224"/>
        <v>0</v>
      </c>
      <c r="AL255" s="150">
        <f t="shared" si="260"/>
        <v>0</v>
      </c>
      <c r="AM255" s="150">
        <f t="shared" si="225"/>
        <v>0</v>
      </c>
      <c r="AN255" s="150">
        <f t="shared" si="226"/>
        <v>0</v>
      </c>
      <c r="AO255" s="150">
        <f t="shared" si="227"/>
        <v>0</v>
      </c>
      <c r="AP255" s="150">
        <f t="shared" si="228"/>
        <v>0</v>
      </c>
      <c r="AQ255" s="149">
        <f t="shared" si="261"/>
        <v>970</v>
      </c>
      <c r="AR255" s="149">
        <f t="shared" si="262"/>
        <v>229052.63000000038</v>
      </c>
      <c r="AS255" s="133"/>
      <c r="AT255" s="152">
        <f t="shared" si="263"/>
        <v>203</v>
      </c>
      <c r="AU255" s="151">
        <f t="shared" si="229"/>
        <v>51835</v>
      </c>
      <c r="AV255" s="150">
        <f t="shared" si="264"/>
        <v>0</v>
      </c>
      <c r="AW255" s="150">
        <f t="shared" si="230"/>
        <v>0</v>
      </c>
      <c r="AX255" s="150">
        <f t="shared" si="231"/>
        <v>0</v>
      </c>
      <c r="AY255" s="150">
        <f t="shared" si="232"/>
        <v>0</v>
      </c>
      <c r="AZ255" s="150">
        <f t="shared" si="233"/>
        <v>0</v>
      </c>
      <c r="BA255" s="150">
        <f t="shared" si="265"/>
        <v>0</v>
      </c>
      <c r="BB255" s="150">
        <f t="shared" si="234"/>
        <v>0</v>
      </c>
      <c r="BC255" s="150">
        <f t="shared" si="235"/>
        <v>0</v>
      </c>
      <c r="BD255" s="150">
        <f t="shared" si="236"/>
        <v>0</v>
      </c>
      <c r="BE255" s="150">
        <f t="shared" si="237"/>
        <v>0</v>
      </c>
      <c r="BF255" s="150">
        <f t="shared" si="266"/>
        <v>0</v>
      </c>
      <c r="BG255" s="150">
        <f t="shared" si="238"/>
        <v>0</v>
      </c>
      <c r="BH255" s="150">
        <f t="shared" si="239"/>
        <v>0</v>
      </c>
      <c r="BI255" s="150">
        <f t="shared" si="240"/>
        <v>0</v>
      </c>
      <c r="BJ255" s="150">
        <f t="shared" si="241"/>
        <v>0</v>
      </c>
      <c r="BK255" s="150">
        <f t="shared" si="267"/>
        <v>57589.16</v>
      </c>
      <c r="BL255" s="150">
        <f t="shared" si="242"/>
        <v>287.95</v>
      </c>
      <c r="BM255" s="150">
        <f t="shared" si="243"/>
        <v>62.050000000000011</v>
      </c>
      <c r="BN255" s="150">
        <f t="shared" si="244"/>
        <v>920</v>
      </c>
      <c r="BO255" s="150">
        <f t="shared" si="245"/>
        <v>56607.11</v>
      </c>
      <c r="BP255" s="150">
        <f t="shared" si="268"/>
        <v>12000</v>
      </c>
      <c r="BQ255" s="150">
        <f t="shared" si="246"/>
        <v>50</v>
      </c>
      <c r="BR255" s="150">
        <f t="shared" si="247"/>
        <v>0</v>
      </c>
      <c r="BS255" s="150">
        <f t="shared" si="248"/>
        <v>0</v>
      </c>
      <c r="BT255" s="150">
        <f t="shared" si="249"/>
        <v>12000</v>
      </c>
      <c r="BU255" s="150">
        <f t="shared" si="269"/>
        <v>0</v>
      </c>
      <c r="BV255" s="150">
        <f t="shared" si="250"/>
        <v>0</v>
      </c>
      <c r="BW255" s="150">
        <f t="shared" si="251"/>
        <v>0</v>
      </c>
      <c r="BX255" s="150">
        <f t="shared" si="252"/>
        <v>0</v>
      </c>
      <c r="BY255" s="150">
        <f t="shared" si="253"/>
        <v>0</v>
      </c>
      <c r="BZ255" s="147">
        <f t="shared" si="270"/>
        <v>920</v>
      </c>
      <c r="CA255" s="147">
        <f t="shared" si="271"/>
        <v>216780.22000000012</v>
      </c>
    </row>
    <row r="256" spans="11:79">
      <c r="K256" s="132">
        <f t="shared" si="254"/>
        <v>204</v>
      </c>
      <c r="L256" s="148">
        <f t="shared" si="204"/>
        <v>51866</v>
      </c>
      <c r="M256" s="131">
        <f t="shared" si="255"/>
        <v>0</v>
      </c>
      <c r="N256" s="131">
        <f t="shared" si="205"/>
        <v>0</v>
      </c>
      <c r="O256" s="131">
        <f t="shared" si="206"/>
        <v>0</v>
      </c>
      <c r="P256" s="131">
        <f t="shared" si="207"/>
        <v>0</v>
      </c>
      <c r="Q256" s="131">
        <f t="shared" si="208"/>
        <v>0</v>
      </c>
      <c r="R256" s="131">
        <f t="shared" si="256"/>
        <v>0</v>
      </c>
      <c r="S256" s="131">
        <f t="shared" si="209"/>
        <v>0</v>
      </c>
      <c r="T256" s="131">
        <f t="shared" si="210"/>
        <v>0</v>
      </c>
      <c r="U256" s="131">
        <f t="shared" si="211"/>
        <v>0</v>
      </c>
      <c r="V256" s="131">
        <f t="shared" si="212"/>
        <v>0</v>
      </c>
      <c r="W256" s="131">
        <f t="shared" si="257"/>
        <v>0</v>
      </c>
      <c r="X256" s="131">
        <f t="shared" si="213"/>
        <v>0</v>
      </c>
      <c r="Y256" s="131">
        <f t="shared" si="214"/>
        <v>0</v>
      </c>
      <c r="Z256" s="131">
        <f t="shared" si="215"/>
        <v>0</v>
      </c>
      <c r="AA256" s="131">
        <f t="shared" si="216"/>
        <v>0</v>
      </c>
      <c r="AB256" s="131">
        <f t="shared" si="258"/>
        <v>62496.33</v>
      </c>
      <c r="AC256" s="131">
        <f t="shared" si="217"/>
        <v>312.48</v>
      </c>
      <c r="AD256" s="131">
        <f t="shared" si="218"/>
        <v>37.519999999999982</v>
      </c>
      <c r="AE256" s="131">
        <f t="shared" si="219"/>
        <v>970</v>
      </c>
      <c r="AF256" s="131">
        <f t="shared" si="220"/>
        <v>61488.81</v>
      </c>
      <c r="AG256" s="131">
        <f t="shared" si="259"/>
        <v>0</v>
      </c>
      <c r="AH256" s="131">
        <f t="shared" si="221"/>
        <v>0</v>
      </c>
      <c r="AI256" s="131">
        <f t="shared" si="222"/>
        <v>0</v>
      </c>
      <c r="AJ256" s="131">
        <f t="shared" si="223"/>
        <v>0</v>
      </c>
      <c r="AK256" s="131">
        <f t="shared" si="224"/>
        <v>0</v>
      </c>
      <c r="AL256" s="131">
        <f t="shared" si="260"/>
        <v>0</v>
      </c>
      <c r="AM256" s="131">
        <f t="shared" si="225"/>
        <v>0</v>
      </c>
      <c r="AN256" s="131">
        <f t="shared" si="226"/>
        <v>0</v>
      </c>
      <c r="AO256" s="131">
        <f t="shared" si="227"/>
        <v>0</v>
      </c>
      <c r="AP256" s="131">
        <f t="shared" si="228"/>
        <v>0</v>
      </c>
      <c r="AQ256" s="149">
        <f t="shared" si="261"/>
        <v>970</v>
      </c>
      <c r="AR256" s="149">
        <f t="shared" si="262"/>
        <v>229365.11000000039</v>
      </c>
      <c r="AS256" s="133"/>
      <c r="AT256" s="132">
        <f t="shared" si="263"/>
        <v>204</v>
      </c>
      <c r="AU256" s="148">
        <f t="shared" si="229"/>
        <v>51866</v>
      </c>
      <c r="AV256" s="131">
        <f t="shared" si="264"/>
        <v>0</v>
      </c>
      <c r="AW256" s="131">
        <f t="shared" si="230"/>
        <v>0</v>
      </c>
      <c r="AX256" s="131">
        <f t="shared" si="231"/>
        <v>0</v>
      </c>
      <c r="AY256" s="131">
        <f t="shared" si="232"/>
        <v>0</v>
      </c>
      <c r="AZ256" s="131">
        <f t="shared" si="233"/>
        <v>0</v>
      </c>
      <c r="BA256" s="131">
        <f t="shared" si="265"/>
        <v>0</v>
      </c>
      <c r="BB256" s="131">
        <f t="shared" si="234"/>
        <v>0</v>
      </c>
      <c r="BC256" s="131">
        <f t="shared" si="235"/>
        <v>0</v>
      </c>
      <c r="BD256" s="131">
        <f t="shared" si="236"/>
        <v>0</v>
      </c>
      <c r="BE256" s="131">
        <f t="shared" si="237"/>
        <v>0</v>
      </c>
      <c r="BF256" s="131">
        <f t="shared" si="266"/>
        <v>0</v>
      </c>
      <c r="BG256" s="131">
        <f t="shared" si="238"/>
        <v>0</v>
      </c>
      <c r="BH256" s="131">
        <f t="shared" si="239"/>
        <v>0</v>
      </c>
      <c r="BI256" s="131">
        <f t="shared" si="240"/>
        <v>0</v>
      </c>
      <c r="BJ256" s="131">
        <f t="shared" si="241"/>
        <v>0</v>
      </c>
      <c r="BK256" s="131">
        <f t="shared" si="267"/>
        <v>56607.11</v>
      </c>
      <c r="BL256" s="131">
        <f t="shared" si="242"/>
        <v>283.04000000000002</v>
      </c>
      <c r="BM256" s="131">
        <f t="shared" si="243"/>
        <v>66.95999999999998</v>
      </c>
      <c r="BN256" s="131">
        <f t="shared" si="244"/>
        <v>920</v>
      </c>
      <c r="BO256" s="131">
        <f t="shared" si="245"/>
        <v>55620.15</v>
      </c>
      <c r="BP256" s="131">
        <f t="shared" si="268"/>
        <v>12000</v>
      </c>
      <c r="BQ256" s="131">
        <f t="shared" si="246"/>
        <v>50</v>
      </c>
      <c r="BR256" s="131">
        <f t="shared" si="247"/>
        <v>0</v>
      </c>
      <c r="BS256" s="131">
        <f t="shared" si="248"/>
        <v>0</v>
      </c>
      <c r="BT256" s="131">
        <f t="shared" si="249"/>
        <v>12000</v>
      </c>
      <c r="BU256" s="131">
        <f t="shared" si="269"/>
        <v>0</v>
      </c>
      <c r="BV256" s="131">
        <f t="shared" si="250"/>
        <v>0</v>
      </c>
      <c r="BW256" s="131">
        <f t="shared" si="251"/>
        <v>0</v>
      </c>
      <c r="BX256" s="131">
        <f t="shared" si="252"/>
        <v>0</v>
      </c>
      <c r="BY256" s="131">
        <f t="shared" si="253"/>
        <v>0</v>
      </c>
      <c r="BZ256" s="147">
        <f t="shared" si="270"/>
        <v>920</v>
      </c>
      <c r="CA256" s="147">
        <f t="shared" si="271"/>
        <v>217113.26000000013</v>
      </c>
    </row>
    <row r="257" spans="11:79">
      <c r="K257" s="152">
        <f t="shared" si="254"/>
        <v>205</v>
      </c>
      <c r="L257" s="151">
        <f t="shared" si="204"/>
        <v>51897</v>
      </c>
      <c r="M257" s="150">
        <f t="shared" si="255"/>
        <v>0</v>
      </c>
      <c r="N257" s="150">
        <f t="shared" si="205"/>
        <v>0</v>
      </c>
      <c r="O257" s="150">
        <f t="shared" si="206"/>
        <v>0</v>
      </c>
      <c r="P257" s="150">
        <f t="shared" si="207"/>
        <v>0</v>
      </c>
      <c r="Q257" s="150">
        <f t="shared" si="208"/>
        <v>0</v>
      </c>
      <c r="R257" s="150">
        <f t="shared" si="256"/>
        <v>0</v>
      </c>
      <c r="S257" s="150">
        <f t="shared" si="209"/>
        <v>0</v>
      </c>
      <c r="T257" s="150">
        <f t="shared" si="210"/>
        <v>0</v>
      </c>
      <c r="U257" s="150">
        <f t="shared" si="211"/>
        <v>0</v>
      </c>
      <c r="V257" s="150">
        <f t="shared" si="212"/>
        <v>0</v>
      </c>
      <c r="W257" s="150">
        <f t="shared" si="257"/>
        <v>0</v>
      </c>
      <c r="X257" s="150">
        <f t="shared" si="213"/>
        <v>0</v>
      </c>
      <c r="Y257" s="150">
        <f t="shared" si="214"/>
        <v>0</v>
      </c>
      <c r="Z257" s="150">
        <f t="shared" si="215"/>
        <v>0</v>
      </c>
      <c r="AA257" s="150">
        <f t="shared" si="216"/>
        <v>0</v>
      </c>
      <c r="AB257" s="150">
        <f t="shared" si="258"/>
        <v>61488.81</v>
      </c>
      <c r="AC257" s="150">
        <f t="shared" si="217"/>
        <v>307.44</v>
      </c>
      <c r="AD257" s="150">
        <f t="shared" si="218"/>
        <v>42.56</v>
      </c>
      <c r="AE257" s="150">
        <f t="shared" si="219"/>
        <v>970</v>
      </c>
      <c r="AF257" s="150">
        <f t="shared" si="220"/>
        <v>60476.25</v>
      </c>
      <c r="AG257" s="150">
        <f t="shared" si="259"/>
        <v>0</v>
      </c>
      <c r="AH257" s="150">
        <f t="shared" si="221"/>
        <v>0</v>
      </c>
      <c r="AI257" s="150">
        <f t="shared" si="222"/>
        <v>0</v>
      </c>
      <c r="AJ257" s="150">
        <f t="shared" si="223"/>
        <v>0</v>
      </c>
      <c r="AK257" s="150">
        <f t="shared" si="224"/>
        <v>0</v>
      </c>
      <c r="AL257" s="150">
        <f t="shared" si="260"/>
        <v>0</v>
      </c>
      <c r="AM257" s="150">
        <f t="shared" si="225"/>
        <v>0</v>
      </c>
      <c r="AN257" s="150">
        <f t="shared" si="226"/>
        <v>0</v>
      </c>
      <c r="AO257" s="150">
        <f t="shared" si="227"/>
        <v>0</v>
      </c>
      <c r="AP257" s="150">
        <f t="shared" si="228"/>
        <v>0</v>
      </c>
      <c r="AQ257" s="149">
        <f t="shared" si="261"/>
        <v>970</v>
      </c>
      <c r="AR257" s="149">
        <f t="shared" si="262"/>
        <v>229672.5500000004</v>
      </c>
      <c r="AS257" s="133"/>
      <c r="AT257" s="152">
        <f t="shared" si="263"/>
        <v>205</v>
      </c>
      <c r="AU257" s="151">
        <f t="shared" si="229"/>
        <v>51897</v>
      </c>
      <c r="AV257" s="150">
        <f t="shared" si="264"/>
        <v>0</v>
      </c>
      <c r="AW257" s="150">
        <f t="shared" si="230"/>
        <v>0</v>
      </c>
      <c r="AX257" s="150">
        <f t="shared" si="231"/>
        <v>0</v>
      </c>
      <c r="AY257" s="150">
        <f t="shared" si="232"/>
        <v>0</v>
      </c>
      <c r="AZ257" s="150">
        <f t="shared" si="233"/>
        <v>0</v>
      </c>
      <c r="BA257" s="150">
        <f t="shared" si="265"/>
        <v>0</v>
      </c>
      <c r="BB257" s="150">
        <f t="shared" si="234"/>
        <v>0</v>
      </c>
      <c r="BC257" s="150">
        <f t="shared" si="235"/>
        <v>0</v>
      </c>
      <c r="BD257" s="150">
        <f t="shared" si="236"/>
        <v>0</v>
      </c>
      <c r="BE257" s="150">
        <f t="shared" si="237"/>
        <v>0</v>
      </c>
      <c r="BF257" s="150">
        <f t="shared" si="266"/>
        <v>0</v>
      </c>
      <c r="BG257" s="150">
        <f t="shared" si="238"/>
        <v>0</v>
      </c>
      <c r="BH257" s="150">
        <f t="shared" si="239"/>
        <v>0</v>
      </c>
      <c r="BI257" s="150">
        <f t="shared" si="240"/>
        <v>0</v>
      </c>
      <c r="BJ257" s="150">
        <f t="shared" si="241"/>
        <v>0</v>
      </c>
      <c r="BK257" s="150">
        <f t="shared" si="267"/>
        <v>55620.15</v>
      </c>
      <c r="BL257" s="150">
        <f t="shared" si="242"/>
        <v>278.10000000000002</v>
      </c>
      <c r="BM257" s="150">
        <f t="shared" si="243"/>
        <v>71.899999999999977</v>
      </c>
      <c r="BN257" s="150">
        <f t="shared" si="244"/>
        <v>920</v>
      </c>
      <c r="BO257" s="150">
        <f t="shared" si="245"/>
        <v>54628.25</v>
      </c>
      <c r="BP257" s="150">
        <f t="shared" si="268"/>
        <v>12000</v>
      </c>
      <c r="BQ257" s="150">
        <f t="shared" si="246"/>
        <v>50</v>
      </c>
      <c r="BR257" s="150">
        <f t="shared" si="247"/>
        <v>0</v>
      </c>
      <c r="BS257" s="150">
        <f t="shared" si="248"/>
        <v>0</v>
      </c>
      <c r="BT257" s="150">
        <f t="shared" si="249"/>
        <v>12000</v>
      </c>
      <c r="BU257" s="150">
        <f t="shared" si="269"/>
        <v>0</v>
      </c>
      <c r="BV257" s="150">
        <f t="shared" si="250"/>
        <v>0</v>
      </c>
      <c r="BW257" s="150">
        <f t="shared" si="251"/>
        <v>0</v>
      </c>
      <c r="BX257" s="150">
        <f t="shared" si="252"/>
        <v>0</v>
      </c>
      <c r="BY257" s="150">
        <f t="shared" si="253"/>
        <v>0</v>
      </c>
      <c r="BZ257" s="147">
        <f t="shared" si="270"/>
        <v>920</v>
      </c>
      <c r="CA257" s="147">
        <f t="shared" si="271"/>
        <v>217441.36000000013</v>
      </c>
    </row>
    <row r="258" spans="11:79">
      <c r="K258" s="132">
        <f t="shared" si="254"/>
        <v>206</v>
      </c>
      <c r="L258" s="148">
        <f t="shared" si="204"/>
        <v>51925</v>
      </c>
      <c r="M258" s="131">
        <f t="shared" si="255"/>
        <v>0</v>
      </c>
      <c r="N258" s="131">
        <f t="shared" si="205"/>
        <v>0</v>
      </c>
      <c r="O258" s="131">
        <f t="shared" si="206"/>
        <v>0</v>
      </c>
      <c r="P258" s="131">
        <f t="shared" si="207"/>
        <v>0</v>
      </c>
      <c r="Q258" s="131">
        <f t="shared" si="208"/>
        <v>0</v>
      </c>
      <c r="R258" s="131">
        <f t="shared" si="256"/>
        <v>0</v>
      </c>
      <c r="S258" s="131">
        <f t="shared" si="209"/>
        <v>0</v>
      </c>
      <c r="T258" s="131">
        <f t="shared" si="210"/>
        <v>0</v>
      </c>
      <c r="U258" s="131">
        <f t="shared" si="211"/>
        <v>0</v>
      </c>
      <c r="V258" s="131">
        <f t="shared" si="212"/>
        <v>0</v>
      </c>
      <c r="W258" s="131">
        <f t="shared" si="257"/>
        <v>0</v>
      </c>
      <c r="X258" s="131">
        <f t="shared" si="213"/>
        <v>0</v>
      </c>
      <c r="Y258" s="131">
        <f t="shared" si="214"/>
        <v>0</v>
      </c>
      <c r="Z258" s="131">
        <f t="shared" si="215"/>
        <v>0</v>
      </c>
      <c r="AA258" s="131">
        <f t="shared" si="216"/>
        <v>0</v>
      </c>
      <c r="AB258" s="131">
        <f t="shared" si="258"/>
        <v>60476.25</v>
      </c>
      <c r="AC258" s="131">
        <f t="shared" si="217"/>
        <v>302.38</v>
      </c>
      <c r="AD258" s="131">
        <f t="shared" si="218"/>
        <v>47.620000000000005</v>
      </c>
      <c r="AE258" s="131">
        <f t="shared" si="219"/>
        <v>970</v>
      </c>
      <c r="AF258" s="131">
        <f t="shared" si="220"/>
        <v>59458.63</v>
      </c>
      <c r="AG258" s="131">
        <f t="shared" si="259"/>
        <v>0</v>
      </c>
      <c r="AH258" s="131">
        <f t="shared" si="221"/>
        <v>0</v>
      </c>
      <c r="AI258" s="131">
        <f t="shared" si="222"/>
        <v>0</v>
      </c>
      <c r="AJ258" s="131">
        <f t="shared" si="223"/>
        <v>0</v>
      </c>
      <c r="AK258" s="131">
        <f t="shared" si="224"/>
        <v>0</v>
      </c>
      <c r="AL258" s="131">
        <f t="shared" si="260"/>
        <v>0</v>
      </c>
      <c r="AM258" s="131">
        <f t="shared" si="225"/>
        <v>0</v>
      </c>
      <c r="AN258" s="131">
        <f t="shared" si="226"/>
        <v>0</v>
      </c>
      <c r="AO258" s="131">
        <f t="shared" si="227"/>
        <v>0</v>
      </c>
      <c r="AP258" s="131">
        <f t="shared" si="228"/>
        <v>0</v>
      </c>
      <c r="AQ258" s="149">
        <f t="shared" si="261"/>
        <v>970</v>
      </c>
      <c r="AR258" s="149">
        <f t="shared" si="262"/>
        <v>229974.9300000004</v>
      </c>
      <c r="AS258" s="133"/>
      <c r="AT258" s="132">
        <f t="shared" si="263"/>
        <v>206</v>
      </c>
      <c r="AU258" s="148">
        <f t="shared" si="229"/>
        <v>51925</v>
      </c>
      <c r="AV258" s="131">
        <f t="shared" si="264"/>
        <v>0</v>
      </c>
      <c r="AW258" s="131">
        <f t="shared" si="230"/>
        <v>0</v>
      </c>
      <c r="AX258" s="131">
        <f t="shared" si="231"/>
        <v>0</v>
      </c>
      <c r="AY258" s="131">
        <f t="shared" si="232"/>
        <v>0</v>
      </c>
      <c r="AZ258" s="131">
        <f t="shared" si="233"/>
        <v>0</v>
      </c>
      <c r="BA258" s="131">
        <f t="shared" si="265"/>
        <v>0</v>
      </c>
      <c r="BB258" s="131">
        <f t="shared" si="234"/>
        <v>0</v>
      </c>
      <c r="BC258" s="131">
        <f t="shared" si="235"/>
        <v>0</v>
      </c>
      <c r="BD258" s="131">
        <f t="shared" si="236"/>
        <v>0</v>
      </c>
      <c r="BE258" s="131">
        <f t="shared" si="237"/>
        <v>0</v>
      </c>
      <c r="BF258" s="131">
        <f t="shared" si="266"/>
        <v>0</v>
      </c>
      <c r="BG258" s="131">
        <f t="shared" si="238"/>
        <v>0</v>
      </c>
      <c r="BH258" s="131">
        <f t="shared" si="239"/>
        <v>0</v>
      </c>
      <c r="BI258" s="131">
        <f t="shared" si="240"/>
        <v>0</v>
      </c>
      <c r="BJ258" s="131">
        <f t="shared" si="241"/>
        <v>0</v>
      </c>
      <c r="BK258" s="131">
        <f t="shared" si="267"/>
        <v>54628.25</v>
      </c>
      <c r="BL258" s="131">
        <f t="shared" si="242"/>
        <v>273.14</v>
      </c>
      <c r="BM258" s="131">
        <f t="shared" si="243"/>
        <v>76.860000000000014</v>
      </c>
      <c r="BN258" s="131">
        <f t="shared" si="244"/>
        <v>920</v>
      </c>
      <c r="BO258" s="131">
        <f t="shared" si="245"/>
        <v>53631.39</v>
      </c>
      <c r="BP258" s="131">
        <f t="shared" si="268"/>
        <v>12000</v>
      </c>
      <c r="BQ258" s="131">
        <f t="shared" si="246"/>
        <v>50</v>
      </c>
      <c r="BR258" s="131">
        <f t="shared" si="247"/>
        <v>0</v>
      </c>
      <c r="BS258" s="131">
        <f t="shared" si="248"/>
        <v>0</v>
      </c>
      <c r="BT258" s="131">
        <f t="shared" si="249"/>
        <v>12000</v>
      </c>
      <c r="BU258" s="131">
        <f t="shared" si="269"/>
        <v>0</v>
      </c>
      <c r="BV258" s="131">
        <f t="shared" si="250"/>
        <v>0</v>
      </c>
      <c r="BW258" s="131">
        <f t="shared" si="251"/>
        <v>0</v>
      </c>
      <c r="BX258" s="131">
        <f t="shared" si="252"/>
        <v>0</v>
      </c>
      <c r="BY258" s="131">
        <f t="shared" si="253"/>
        <v>0</v>
      </c>
      <c r="BZ258" s="147">
        <f t="shared" si="270"/>
        <v>920</v>
      </c>
      <c r="CA258" s="147">
        <f t="shared" si="271"/>
        <v>217764.50000000015</v>
      </c>
    </row>
    <row r="259" spans="11:79">
      <c r="K259" s="152">
        <f t="shared" si="254"/>
        <v>207</v>
      </c>
      <c r="L259" s="151">
        <f t="shared" si="204"/>
        <v>51956</v>
      </c>
      <c r="M259" s="150">
        <f t="shared" si="255"/>
        <v>0</v>
      </c>
      <c r="N259" s="150">
        <f t="shared" si="205"/>
        <v>0</v>
      </c>
      <c r="O259" s="150">
        <f t="shared" si="206"/>
        <v>0</v>
      </c>
      <c r="P259" s="150">
        <f t="shared" si="207"/>
        <v>0</v>
      </c>
      <c r="Q259" s="150">
        <f t="shared" si="208"/>
        <v>0</v>
      </c>
      <c r="R259" s="150">
        <f t="shared" si="256"/>
        <v>0</v>
      </c>
      <c r="S259" s="150">
        <f t="shared" si="209"/>
        <v>0</v>
      </c>
      <c r="T259" s="150">
        <f t="shared" si="210"/>
        <v>0</v>
      </c>
      <c r="U259" s="150">
        <f t="shared" si="211"/>
        <v>0</v>
      </c>
      <c r="V259" s="150">
        <f t="shared" si="212"/>
        <v>0</v>
      </c>
      <c r="W259" s="150">
        <f t="shared" si="257"/>
        <v>0</v>
      </c>
      <c r="X259" s="150">
        <f t="shared" si="213"/>
        <v>0</v>
      </c>
      <c r="Y259" s="150">
        <f t="shared" si="214"/>
        <v>0</v>
      </c>
      <c r="Z259" s="150">
        <f t="shared" si="215"/>
        <v>0</v>
      </c>
      <c r="AA259" s="150">
        <f t="shared" si="216"/>
        <v>0</v>
      </c>
      <c r="AB259" s="150">
        <f t="shared" si="258"/>
        <v>59458.63</v>
      </c>
      <c r="AC259" s="150">
        <f t="shared" si="217"/>
        <v>297.29000000000002</v>
      </c>
      <c r="AD259" s="150">
        <f t="shared" si="218"/>
        <v>52.70999999999998</v>
      </c>
      <c r="AE259" s="150">
        <f t="shared" si="219"/>
        <v>970</v>
      </c>
      <c r="AF259" s="150">
        <f t="shared" si="220"/>
        <v>58435.92</v>
      </c>
      <c r="AG259" s="150">
        <f t="shared" si="259"/>
        <v>0</v>
      </c>
      <c r="AH259" s="150">
        <f t="shared" si="221"/>
        <v>0</v>
      </c>
      <c r="AI259" s="150">
        <f t="shared" si="222"/>
        <v>0</v>
      </c>
      <c r="AJ259" s="150">
        <f t="shared" si="223"/>
        <v>0</v>
      </c>
      <c r="AK259" s="150">
        <f t="shared" si="224"/>
        <v>0</v>
      </c>
      <c r="AL259" s="150">
        <f t="shared" si="260"/>
        <v>0</v>
      </c>
      <c r="AM259" s="150">
        <f t="shared" si="225"/>
        <v>0</v>
      </c>
      <c r="AN259" s="150">
        <f t="shared" si="226"/>
        <v>0</v>
      </c>
      <c r="AO259" s="150">
        <f t="shared" si="227"/>
        <v>0</v>
      </c>
      <c r="AP259" s="150">
        <f t="shared" si="228"/>
        <v>0</v>
      </c>
      <c r="AQ259" s="149">
        <f t="shared" si="261"/>
        <v>970</v>
      </c>
      <c r="AR259" s="149">
        <f t="shared" si="262"/>
        <v>230272.22000000041</v>
      </c>
      <c r="AS259" s="133"/>
      <c r="AT259" s="152">
        <f t="shared" si="263"/>
        <v>207</v>
      </c>
      <c r="AU259" s="151">
        <f t="shared" si="229"/>
        <v>51956</v>
      </c>
      <c r="AV259" s="150">
        <f t="shared" si="264"/>
        <v>0</v>
      </c>
      <c r="AW259" s="150">
        <f t="shared" si="230"/>
        <v>0</v>
      </c>
      <c r="AX259" s="150">
        <f t="shared" si="231"/>
        <v>0</v>
      </c>
      <c r="AY259" s="150">
        <f t="shared" si="232"/>
        <v>0</v>
      </c>
      <c r="AZ259" s="150">
        <f t="shared" si="233"/>
        <v>0</v>
      </c>
      <c r="BA259" s="150">
        <f t="shared" si="265"/>
        <v>0</v>
      </c>
      <c r="BB259" s="150">
        <f t="shared" si="234"/>
        <v>0</v>
      </c>
      <c r="BC259" s="150">
        <f t="shared" si="235"/>
        <v>0</v>
      </c>
      <c r="BD259" s="150">
        <f t="shared" si="236"/>
        <v>0</v>
      </c>
      <c r="BE259" s="150">
        <f t="shared" si="237"/>
        <v>0</v>
      </c>
      <c r="BF259" s="150">
        <f t="shared" si="266"/>
        <v>0</v>
      </c>
      <c r="BG259" s="150">
        <f t="shared" si="238"/>
        <v>0</v>
      </c>
      <c r="BH259" s="150">
        <f t="shared" si="239"/>
        <v>0</v>
      </c>
      <c r="BI259" s="150">
        <f t="shared" si="240"/>
        <v>0</v>
      </c>
      <c r="BJ259" s="150">
        <f t="shared" si="241"/>
        <v>0</v>
      </c>
      <c r="BK259" s="150">
        <f t="shared" si="267"/>
        <v>53631.39</v>
      </c>
      <c r="BL259" s="150">
        <f t="shared" si="242"/>
        <v>268.16000000000003</v>
      </c>
      <c r="BM259" s="150">
        <f t="shared" si="243"/>
        <v>81.839999999999975</v>
      </c>
      <c r="BN259" s="150">
        <f t="shared" si="244"/>
        <v>920</v>
      </c>
      <c r="BO259" s="150">
        <f t="shared" si="245"/>
        <v>52629.55</v>
      </c>
      <c r="BP259" s="150">
        <f t="shared" si="268"/>
        <v>12000</v>
      </c>
      <c r="BQ259" s="150">
        <f t="shared" si="246"/>
        <v>50</v>
      </c>
      <c r="BR259" s="150">
        <f t="shared" si="247"/>
        <v>0</v>
      </c>
      <c r="BS259" s="150">
        <f t="shared" si="248"/>
        <v>0</v>
      </c>
      <c r="BT259" s="150">
        <f t="shared" si="249"/>
        <v>12000</v>
      </c>
      <c r="BU259" s="150">
        <f t="shared" si="269"/>
        <v>0</v>
      </c>
      <c r="BV259" s="150">
        <f t="shared" si="250"/>
        <v>0</v>
      </c>
      <c r="BW259" s="150">
        <f t="shared" si="251"/>
        <v>0</v>
      </c>
      <c r="BX259" s="150">
        <f t="shared" si="252"/>
        <v>0</v>
      </c>
      <c r="BY259" s="150">
        <f t="shared" si="253"/>
        <v>0</v>
      </c>
      <c r="BZ259" s="147">
        <f t="shared" si="270"/>
        <v>920</v>
      </c>
      <c r="CA259" s="147">
        <f t="shared" si="271"/>
        <v>218082.66000000015</v>
      </c>
    </row>
    <row r="260" spans="11:79">
      <c r="K260" s="132">
        <f t="shared" si="254"/>
        <v>208</v>
      </c>
      <c r="L260" s="148">
        <f t="shared" si="204"/>
        <v>51986</v>
      </c>
      <c r="M260" s="131">
        <f t="shared" si="255"/>
        <v>0</v>
      </c>
      <c r="N260" s="131">
        <f t="shared" si="205"/>
        <v>0</v>
      </c>
      <c r="O260" s="131">
        <f t="shared" si="206"/>
        <v>0</v>
      </c>
      <c r="P260" s="131">
        <f t="shared" si="207"/>
        <v>0</v>
      </c>
      <c r="Q260" s="131">
        <f t="shared" si="208"/>
        <v>0</v>
      </c>
      <c r="R260" s="131">
        <f t="shared" si="256"/>
        <v>0</v>
      </c>
      <c r="S260" s="131">
        <f t="shared" si="209"/>
        <v>0</v>
      </c>
      <c r="T260" s="131">
        <f t="shared" si="210"/>
        <v>0</v>
      </c>
      <c r="U260" s="131">
        <f t="shared" si="211"/>
        <v>0</v>
      </c>
      <c r="V260" s="131">
        <f t="shared" si="212"/>
        <v>0</v>
      </c>
      <c r="W260" s="131">
        <f t="shared" si="257"/>
        <v>0</v>
      </c>
      <c r="X260" s="131">
        <f t="shared" si="213"/>
        <v>0</v>
      </c>
      <c r="Y260" s="131">
        <f t="shared" si="214"/>
        <v>0</v>
      </c>
      <c r="Z260" s="131">
        <f t="shared" si="215"/>
        <v>0</v>
      </c>
      <c r="AA260" s="131">
        <f t="shared" si="216"/>
        <v>0</v>
      </c>
      <c r="AB260" s="131">
        <f t="shared" si="258"/>
        <v>58435.92</v>
      </c>
      <c r="AC260" s="131">
        <f t="shared" si="217"/>
        <v>292.18</v>
      </c>
      <c r="AD260" s="131">
        <f t="shared" si="218"/>
        <v>57.819999999999993</v>
      </c>
      <c r="AE260" s="131">
        <f t="shared" si="219"/>
        <v>970</v>
      </c>
      <c r="AF260" s="131">
        <f t="shared" si="220"/>
        <v>57408.1</v>
      </c>
      <c r="AG260" s="131">
        <f t="shared" si="259"/>
        <v>0</v>
      </c>
      <c r="AH260" s="131">
        <f t="shared" si="221"/>
        <v>0</v>
      </c>
      <c r="AI260" s="131">
        <f t="shared" si="222"/>
        <v>0</v>
      </c>
      <c r="AJ260" s="131">
        <f t="shared" si="223"/>
        <v>0</v>
      </c>
      <c r="AK260" s="131">
        <f t="shared" si="224"/>
        <v>0</v>
      </c>
      <c r="AL260" s="131">
        <f t="shared" si="260"/>
        <v>0</v>
      </c>
      <c r="AM260" s="131">
        <f t="shared" si="225"/>
        <v>0</v>
      </c>
      <c r="AN260" s="131">
        <f t="shared" si="226"/>
        <v>0</v>
      </c>
      <c r="AO260" s="131">
        <f t="shared" si="227"/>
        <v>0</v>
      </c>
      <c r="AP260" s="131">
        <f t="shared" si="228"/>
        <v>0</v>
      </c>
      <c r="AQ260" s="149">
        <f t="shared" si="261"/>
        <v>970</v>
      </c>
      <c r="AR260" s="149">
        <f t="shared" si="262"/>
        <v>230564.4000000004</v>
      </c>
      <c r="AS260" s="133"/>
      <c r="AT260" s="132">
        <f t="shared" si="263"/>
        <v>208</v>
      </c>
      <c r="AU260" s="148">
        <f t="shared" si="229"/>
        <v>51986</v>
      </c>
      <c r="AV260" s="131">
        <f t="shared" si="264"/>
        <v>0</v>
      </c>
      <c r="AW260" s="131">
        <f t="shared" si="230"/>
        <v>0</v>
      </c>
      <c r="AX260" s="131">
        <f t="shared" si="231"/>
        <v>0</v>
      </c>
      <c r="AY260" s="131">
        <f t="shared" si="232"/>
        <v>0</v>
      </c>
      <c r="AZ260" s="131">
        <f t="shared" si="233"/>
        <v>0</v>
      </c>
      <c r="BA260" s="131">
        <f t="shared" si="265"/>
        <v>0</v>
      </c>
      <c r="BB260" s="131">
        <f t="shared" si="234"/>
        <v>0</v>
      </c>
      <c r="BC260" s="131">
        <f t="shared" si="235"/>
        <v>0</v>
      </c>
      <c r="BD260" s="131">
        <f t="shared" si="236"/>
        <v>0</v>
      </c>
      <c r="BE260" s="131">
        <f t="shared" si="237"/>
        <v>0</v>
      </c>
      <c r="BF260" s="131">
        <f t="shared" si="266"/>
        <v>0</v>
      </c>
      <c r="BG260" s="131">
        <f t="shared" si="238"/>
        <v>0</v>
      </c>
      <c r="BH260" s="131">
        <f t="shared" si="239"/>
        <v>0</v>
      </c>
      <c r="BI260" s="131">
        <f t="shared" si="240"/>
        <v>0</v>
      </c>
      <c r="BJ260" s="131">
        <f t="shared" si="241"/>
        <v>0</v>
      </c>
      <c r="BK260" s="131">
        <f t="shared" si="267"/>
        <v>52629.55</v>
      </c>
      <c r="BL260" s="131">
        <f t="shared" si="242"/>
        <v>263.14999999999998</v>
      </c>
      <c r="BM260" s="131">
        <f t="shared" si="243"/>
        <v>86.850000000000023</v>
      </c>
      <c r="BN260" s="131">
        <f t="shared" si="244"/>
        <v>920</v>
      </c>
      <c r="BO260" s="131">
        <f t="shared" si="245"/>
        <v>51622.7</v>
      </c>
      <c r="BP260" s="131">
        <f t="shared" si="268"/>
        <v>12000</v>
      </c>
      <c r="BQ260" s="131">
        <f t="shared" si="246"/>
        <v>50</v>
      </c>
      <c r="BR260" s="131">
        <f t="shared" si="247"/>
        <v>0</v>
      </c>
      <c r="BS260" s="131">
        <f t="shared" si="248"/>
        <v>0</v>
      </c>
      <c r="BT260" s="131">
        <f t="shared" si="249"/>
        <v>12000</v>
      </c>
      <c r="BU260" s="131">
        <f t="shared" si="269"/>
        <v>0</v>
      </c>
      <c r="BV260" s="131">
        <f t="shared" si="250"/>
        <v>0</v>
      </c>
      <c r="BW260" s="131">
        <f t="shared" si="251"/>
        <v>0</v>
      </c>
      <c r="BX260" s="131">
        <f t="shared" si="252"/>
        <v>0</v>
      </c>
      <c r="BY260" s="131">
        <f t="shared" si="253"/>
        <v>0</v>
      </c>
      <c r="BZ260" s="147">
        <f t="shared" si="270"/>
        <v>920</v>
      </c>
      <c r="CA260" s="147">
        <f t="shared" si="271"/>
        <v>218395.81000000014</v>
      </c>
    </row>
    <row r="261" spans="11:79">
      <c r="K261" s="152">
        <f t="shared" si="254"/>
        <v>209</v>
      </c>
      <c r="L261" s="151">
        <f t="shared" si="204"/>
        <v>52017</v>
      </c>
      <c r="M261" s="150">
        <f t="shared" si="255"/>
        <v>0</v>
      </c>
      <c r="N261" s="150">
        <f t="shared" si="205"/>
        <v>0</v>
      </c>
      <c r="O261" s="150">
        <f t="shared" si="206"/>
        <v>0</v>
      </c>
      <c r="P261" s="150">
        <f t="shared" si="207"/>
        <v>0</v>
      </c>
      <c r="Q261" s="150">
        <f t="shared" si="208"/>
        <v>0</v>
      </c>
      <c r="R261" s="150">
        <f t="shared" si="256"/>
        <v>0</v>
      </c>
      <c r="S261" s="150">
        <f t="shared" si="209"/>
        <v>0</v>
      </c>
      <c r="T261" s="150">
        <f t="shared" si="210"/>
        <v>0</v>
      </c>
      <c r="U261" s="150">
        <f t="shared" si="211"/>
        <v>0</v>
      </c>
      <c r="V261" s="150">
        <f t="shared" si="212"/>
        <v>0</v>
      </c>
      <c r="W261" s="150">
        <f t="shared" si="257"/>
        <v>0</v>
      </c>
      <c r="X261" s="150">
        <f t="shared" si="213"/>
        <v>0</v>
      </c>
      <c r="Y261" s="150">
        <f t="shared" si="214"/>
        <v>0</v>
      </c>
      <c r="Z261" s="150">
        <f t="shared" si="215"/>
        <v>0</v>
      </c>
      <c r="AA261" s="150">
        <f t="shared" si="216"/>
        <v>0</v>
      </c>
      <c r="AB261" s="150">
        <f t="shared" si="258"/>
        <v>57408.1</v>
      </c>
      <c r="AC261" s="150">
        <f t="shared" si="217"/>
        <v>287.04000000000002</v>
      </c>
      <c r="AD261" s="150">
        <f t="shared" si="218"/>
        <v>62.95999999999998</v>
      </c>
      <c r="AE261" s="150">
        <f t="shared" si="219"/>
        <v>970</v>
      </c>
      <c r="AF261" s="150">
        <f t="shared" si="220"/>
        <v>56375.14</v>
      </c>
      <c r="AG261" s="150">
        <f t="shared" si="259"/>
        <v>0</v>
      </c>
      <c r="AH261" s="150">
        <f t="shared" si="221"/>
        <v>0</v>
      </c>
      <c r="AI261" s="150">
        <f t="shared" si="222"/>
        <v>0</v>
      </c>
      <c r="AJ261" s="150">
        <f t="shared" si="223"/>
        <v>0</v>
      </c>
      <c r="AK261" s="150">
        <f t="shared" si="224"/>
        <v>0</v>
      </c>
      <c r="AL261" s="150">
        <f t="shared" si="260"/>
        <v>0</v>
      </c>
      <c r="AM261" s="150">
        <f t="shared" si="225"/>
        <v>0</v>
      </c>
      <c r="AN261" s="150">
        <f t="shared" si="226"/>
        <v>0</v>
      </c>
      <c r="AO261" s="150">
        <f t="shared" si="227"/>
        <v>0</v>
      </c>
      <c r="AP261" s="150">
        <f t="shared" si="228"/>
        <v>0</v>
      </c>
      <c r="AQ261" s="149">
        <f t="shared" si="261"/>
        <v>970</v>
      </c>
      <c r="AR261" s="149">
        <f t="shared" si="262"/>
        <v>230851.44000000041</v>
      </c>
      <c r="AS261" s="133"/>
      <c r="AT261" s="152">
        <f t="shared" si="263"/>
        <v>209</v>
      </c>
      <c r="AU261" s="151">
        <f t="shared" si="229"/>
        <v>52017</v>
      </c>
      <c r="AV261" s="150">
        <f t="shared" si="264"/>
        <v>0</v>
      </c>
      <c r="AW261" s="150">
        <f t="shared" si="230"/>
        <v>0</v>
      </c>
      <c r="AX261" s="150">
        <f t="shared" si="231"/>
        <v>0</v>
      </c>
      <c r="AY261" s="150">
        <f t="shared" si="232"/>
        <v>0</v>
      </c>
      <c r="AZ261" s="150">
        <f t="shared" si="233"/>
        <v>0</v>
      </c>
      <c r="BA261" s="150">
        <f t="shared" si="265"/>
        <v>0</v>
      </c>
      <c r="BB261" s="150">
        <f t="shared" si="234"/>
        <v>0</v>
      </c>
      <c r="BC261" s="150">
        <f t="shared" si="235"/>
        <v>0</v>
      </c>
      <c r="BD261" s="150">
        <f t="shared" si="236"/>
        <v>0</v>
      </c>
      <c r="BE261" s="150">
        <f t="shared" si="237"/>
        <v>0</v>
      </c>
      <c r="BF261" s="150">
        <f t="shared" si="266"/>
        <v>0</v>
      </c>
      <c r="BG261" s="150">
        <f t="shared" si="238"/>
        <v>0</v>
      </c>
      <c r="BH261" s="150">
        <f t="shared" si="239"/>
        <v>0</v>
      </c>
      <c r="BI261" s="150">
        <f t="shared" si="240"/>
        <v>0</v>
      </c>
      <c r="BJ261" s="150">
        <f t="shared" si="241"/>
        <v>0</v>
      </c>
      <c r="BK261" s="150">
        <f t="shared" si="267"/>
        <v>51622.7</v>
      </c>
      <c r="BL261" s="150">
        <f t="shared" si="242"/>
        <v>258.11</v>
      </c>
      <c r="BM261" s="150">
        <f t="shared" si="243"/>
        <v>91.889999999999986</v>
      </c>
      <c r="BN261" s="150">
        <f t="shared" si="244"/>
        <v>920</v>
      </c>
      <c r="BO261" s="150">
        <f t="shared" si="245"/>
        <v>50610.81</v>
      </c>
      <c r="BP261" s="150">
        <f t="shared" si="268"/>
        <v>12000</v>
      </c>
      <c r="BQ261" s="150">
        <f t="shared" si="246"/>
        <v>50</v>
      </c>
      <c r="BR261" s="150">
        <f t="shared" si="247"/>
        <v>0</v>
      </c>
      <c r="BS261" s="150">
        <f t="shared" si="248"/>
        <v>0</v>
      </c>
      <c r="BT261" s="150">
        <f t="shared" si="249"/>
        <v>12000</v>
      </c>
      <c r="BU261" s="150">
        <f t="shared" si="269"/>
        <v>0</v>
      </c>
      <c r="BV261" s="150">
        <f t="shared" si="250"/>
        <v>0</v>
      </c>
      <c r="BW261" s="150">
        <f t="shared" si="251"/>
        <v>0</v>
      </c>
      <c r="BX261" s="150">
        <f t="shared" si="252"/>
        <v>0</v>
      </c>
      <c r="BY261" s="150">
        <f t="shared" si="253"/>
        <v>0</v>
      </c>
      <c r="BZ261" s="147">
        <f t="shared" si="270"/>
        <v>920</v>
      </c>
      <c r="CA261" s="147">
        <f t="shared" si="271"/>
        <v>218703.92000000013</v>
      </c>
    </row>
    <row r="262" spans="11:79">
      <c r="K262" s="132">
        <f t="shared" si="254"/>
        <v>210</v>
      </c>
      <c r="L262" s="148">
        <f t="shared" si="204"/>
        <v>52047</v>
      </c>
      <c r="M262" s="131">
        <f t="shared" si="255"/>
        <v>0</v>
      </c>
      <c r="N262" s="131">
        <f t="shared" si="205"/>
        <v>0</v>
      </c>
      <c r="O262" s="131">
        <f t="shared" si="206"/>
        <v>0</v>
      </c>
      <c r="P262" s="131">
        <f t="shared" si="207"/>
        <v>0</v>
      </c>
      <c r="Q262" s="131">
        <f t="shared" si="208"/>
        <v>0</v>
      </c>
      <c r="R262" s="131">
        <f t="shared" si="256"/>
        <v>0</v>
      </c>
      <c r="S262" s="131">
        <f t="shared" si="209"/>
        <v>0</v>
      </c>
      <c r="T262" s="131">
        <f t="shared" si="210"/>
        <v>0</v>
      </c>
      <c r="U262" s="131">
        <f t="shared" si="211"/>
        <v>0</v>
      </c>
      <c r="V262" s="131">
        <f t="shared" si="212"/>
        <v>0</v>
      </c>
      <c r="W262" s="131">
        <f t="shared" si="257"/>
        <v>0</v>
      </c>
      <c r="X262" s="131">
        <f t="shared" si="213"/>
        <v>0</v>
      </c>
      <c r="Y262" s="131">
        <f t="shared" si="214"/>
        <v>0</v>
      </c>
      <c r="Z262" s="131">
        <f t="shared" si="215"/>
        <v>0</v>
      </c>
      <c r="AA262" s="131">
        <f t="shared" si="216"/>
        <v>0</v>
      </c>
      <c r="AB262" s="131">
        <f t="shared" si="258"/>
        <v>56375.14</v>
      </c>
      <c r="AC262" s="131">
        <f t="shared" si="217"/>
        <v>281.88</v>
      </c>
      <c r="AD262" s="131">
        <f t="shared" si="218"/>
        <v>68.12</v>
      </c>
      <c r="AE262" s="131">
        <f t="shared" si="219"/>
        <v>970</v>
      </c>
      <c r="AF262" s="131">
        <f t="shared" si="220"/>
        <v>55337.02</v>
      </c>
      <c r="AG262" s="131">
        <f t="shared" si="259"/>
        <v>0</v>
      </c>
      <c r="AH262" s="131">
        <f t="shared" si="221"/>
        <v>0</v>
      </c>
      <c r="AI262" s="131">
        <f t="shared" si="222"/>
        <v>0</v>
      </c>
      <c r="AJ262" s="131">
        <f t="shared" si="223"/>
        <v>0</v>
      </c>
      <c r="AK262" s="131">
        <f t="shared" si="224"/>
        <v>0</v>
      </c>
      <c r="AL262" s="131">
        <f t="shared" si="260"/>
        <v>0</v>
      </c>
      <c r="AM262" s="131">
        <f t="shared" si="225"/>
        <v>0</v>
      </c>
      <c r="AN262" s="131">
        <f t="shared" si="226"/>
        <v>0</v>
      </c>
      <c r="AO262" s="131">
        <f t="shared" si="227"/>
        <v>0</v>
      </c>
      <c r="AP262" s="131">
        <f t="shared" si="228"/>
        <v>0</v>
      </c>
      <c r="AQ262" s="149">
        <f t="shared" si="261"/>
        <v>970</v>
      </c>
      <c r="AR262" s="149">
        <f t="shared" si="262"/>
        <v>231133.32000000041</v>
      </c>
      <c r="AS262" s="133"/>
      <c r="AT262" s="132">
        <f t="shared" si="263"/>
        <v>210</v>
      </c>
      <c r="AU262" s="148">
        <f t="shared" si="229"/>
        <v>52047</v>
      </c>
      <c r="AV262" s="131">
        <f t="shared" si="264"/>
        <v>0</v>
      </c>
      <c r="AW262" s="131">
        <f t="shared" si="230"/>
        <v>0</v>
      </c>
      <c r="AX262" s="131">
        <f t="shared" si="231"/>
        <v>0</v>
      </c>
      <c r="AY262" s="131">
        <f t="shared" si="232"/>
        <v>0</v>
      </c>
      <c r="AZ262" s="131">
        <f t="shared" si="233"/>
        <v>0</v>
      </c>
      <c r="BA262" s="131">
        <f t="shared" si="265"/>
        <v>0</v>
      </c>
      <c r="BB262" s="131">
        <f t="shared" si="234"/>
        <v>0</v>
      </c>
      <c r="BC262" s="131">
        <f t="shared" si="235"/>
        <v>0</v>
      </c>
      <c r="BD262" s="131">
        <f t="shared" si="236"/>
        <v>0</v>
      </c>
      <c r="BE262" s="131">
        <f t="shared" si="237"/>
        <v>0</v>
      </c>
      <c r="BF262" s="131">
        <f t="shared" si="266"/>
        <v>0</v>
      </c>
      <c r="BG262" s="131">
        <f t="shared" si="238"/>
        <v>0</v>
      </c>
      <c r="BH262" s="131">
        <f t="shared" si="239"/>
        <v>0</v>
      </c>
      <c r="BI262" s="131">
        <f t="shared" si="240"/>
        <v>0</v>
      </c>
      <c r="BJ262" s="131">
        <f t="shared" si="241"/>
        <v>0</v>
      </c>
      <c r="BK262" s="131">
        <f t="shared" si="267"/>
        <v>50610.81</v>
      </c>
      <c r="BL262" s="131">
        <f t="shared" si="242"/>
        <v>253.05</v>
      </c>
      <c r="BM262" s="131">
        <f t="shared" si="243"/>
        <v>96.949999999999989</v>
      </c>
      <c r="BN262" s="131">
        <f t="shared" si="244"/>
        <v>920</v>
      </c>
      <c r="BO262" s="131">
        <f t="shared" si="245"/>
        <v>49593.86</v>
      </c>
      <c r="BP262" s="131">
        <f t="shared" si="268"/>
        <v>12000</v>
      </c>
      <c r="BQ262" s="131">
        <f t="shared" si="246"/>
        <v>50</v>
      </c>
      <c r="BR262" s="131">
        <f t="shared" si="247"/>
        <v>0</v>
      </c>
      <c r="BS262" s="131">
        <f t="shared" si="248"/>
        <v>0</v>
      </c>
      <c r="BT262" s="131">
        <f t="shared" si="249"/>
        <v>12000</v>
      </c>
      <c r="BU262" s="131">
        <f t="shared" si="269"/>
        <v>0</v>
      </c>
      <c r="BV262" s="131">
        <f t="shared" si="250"/>
        <v>0</v>
      </c>
      <c r="BW262" s="131">
        <f t="shared" si="251"/>
        <v>0</v>
      </c>
      <c r="BX262" s="131">
        <f t="shared" si="252"/>
        <v>0</v>
      </c>
      <c r="BY262" s="131">
        <f t="shared" si="253"/>
        <v>0</v>
      </c>
      <c r="BZ262" s="147">
        <f t="shared" si="270"/>
        <v>920</v>
      </c>
      <c r="CA262" s="147">
        <f t="shared" si="271"/>
        <v>219006.97000000012</v>
      </c>
    </row>
    <row r="263" spans="11:79">
      <c r="K263" s="152">
        <f t="shared" si="254"/>
        <v>211</v>
      </c>
      <c r="L263" s="151">
        <f t="shared" si="204"/>
        <v>52078</v>
      </c>
      <c r="M263" s="150">
        <f t="shared" si="255"/>
        <v>0</v>
      </c>
      <c r="N263" s="150">
        <f t="shared" si="205"/>
        <v>0</v>
      </c>
      <c r="O263" s="150">
        <f t="shared" si="206"/>
        <v>0</v>
      </c>
      <c r="P263" s="150">
        <f t="shared" si="207"/>
        <v>0</v>
      </c>
      <c r="Q263" s="150">
        <f t="shared" si="208"/>
        <v>0</v>
      </c>
      <c r="R263" s="150">
        <f t="shared" si="256"/>
        <v>0</v>
      </c>
      <c r="S263" s="150">
        <f t="shared" si="209"/>
        <v>0</v>
      </c>
      <c r="T263" s="150">
        <f t="shared" si="210"/>
        <v>0</v>
      </c>
      <c r="U263" s="150">
        <f t="shared" si="211"/>
        <v>0</v>
      </c>
      <c r="V263" s="150">
        <f t="shared" si="212"/>
        <v>0</v>
      </c>
      <c r="W263" s="150">
        <f t="shared" si="257"/>
        <v>0</v>
      </c>
      <c r="X263" s="150">
        <f t="shared" si="213"/>
        <v>0</v>
      </c>
      <c r="Y263" s="150">
        <f t="shared" si="214"/>
        <v>0</v>
      </c>
      <c r="Z263" s="150">
        <f t="shared" si="215"/>
        <v>0</v>
      </c>
      <c r="AA263" s="150">
        <f t="shared" si="216"/>
        <v>0</v>
      </c>
      <c r="AB263" s="150">
        <f t="shared" si="258"/>
        <v>55337.02</v>
      </c>
      <c r="AC263" s="150">
        <f t="shared" si="217"/>
        <v>276.69</v>
      </c>
      <c r="AD263" s="150">
        <f t="shared" si="218"/>
        <v>73.31</v>
      </c>
      <c r="AE263" s="150">
        <f t="shared" si="219"/>
        <v>970</v>
      </c>
      <c r="AF263" s="150">
        <f t="shared" si="220"/>
        <v>54293.71</v>
      </c>
      <c r="AG263" s="150">
        <f t="shared" si="259"/>
        <v>0</v>
      </c>
      <c r="AH263" s="150">
        <f t="shared" si="221"/>
        <v>0</v>
      </c>
      <c r="AI263" s="150">
        <f t="shared" si="222"/>
        <v>0</v>
      </c>
      <c r="AJ263" s="150">
        <f t="shared" si="223"/>
        <v>0</v>
      </c>
      <c r="AK263" s="150">
        <f t="shared" si="224"/>
        <v>0</v>
      </c>
      <c r="AL263" s="150">
        <f t="shared" si="260"/>
        <v>0</v>
      </c>
      <c r="AM263" s="150">
        <f t="shared" si="225"/>
        <v>0</v>
      </c>
      <c r="AN263" s="150">
        <f t="shared" si="226"/>
        <v>0</v>
      </c>
      <c r="AO263" s="150">
        <f t="shared" si="227"/>
        <v>0</v>
      </c>
      <c r="AP263" s="150">
        <f t="shared" si="228"/>
        <v>0</v>
      </c>
      <c r="AQ263" s="149">
        <f t="shared" si="261"/>
        <v>970</v>
      </c>
      <c r="AR263" s="149">
        <f t="shared" si="262"/>
        <v>231410.01000000042</v>
      </c>
      <c r="AS263" s="133"/>
      <c r="AT263" s="152">
        <f t="shared" si="263"/>
        <v>211</v>
      </c>
      <c r="AU263" s="151">
        <f t="shared" si="229"/>
        <v>52078</v>
      </c>
      <c r="AV263" s="150">
        <f t="shared" si="264"/>
        <v>0</v>
      </c>
      <c r="AW263" s="150">
        <f t="shared" si="230"/>
        <v>0</v>
      </c>
      <c r="AX263" s="150">
        <f t="shared" si="231"/>
        <v>0</v>
      </c>
      <c r="AY263" s="150">
        <f t="shared" si="232"/>
        <v>0</v>
      </c>
      <c r="AZ263" s="150">
        <f t="shared" si="233"/>
        <v>0</v>
      </c>
      <c r="BA263" s="150">
        <f t="shared" si="265"/>
        <v>0</v>
      </c>
      <c r="BB263" s="150">
        <f t="shared" si="234"/>
        <v>0</v>
      </c>
      <c r="BC263" s="150">
        <f t="shared" si="235"/>
        <v>0</v>
      </c>
      <c r="BD263" s="150">
        <f t="shared" si="236"/>
        <v>0</v>
      </c>
      <c r="BE263" s="150">
        <f t="shared" si="237"/>
        <v>0</v>
      </c>
      <c r="BF263" s="150">
        <f t="shared" si="266"/>
        <v>0</v>
      </c>
      <c r="BG263" s="150">
        <f t="shared" si="238"/>
        <v>0</v>
      </c>
      <c r="BH263" s="150">
        <f t="shared" si="239"/>
        <v>0</v>
      </c>
      <c r="BI263" s="150">
        <f t="shared" si="240"/>
        <v>0</v>
      </c>
      <c r="BJ263" s="150">
        <f t="shared" si="241"/>
        <v>0</v>
      </c>
      <c r="BK263" s="150">
        <f t="shared" si="267"/>
        <v>49593.86</v>
      </c>
      <c r="BL263" s="150">
        <f t="shared" si="242"/>
        <v>247.97</v>
      </c>
      <c r="BM263" s="150">
        <f t="shared" si="243"/>
        <v>102.03</v>
      </c>
      <c r="BN263" s="150">
        <f t="shared" si="244"/>
        <v>920</v>
      </c>
      <c r="BO263" s="150">
        <f t="shared" si="245"/>
        <v>48571.83</v>
      </c>
      <c r="BP263" s="150">
        <f t="shared" si="268"/>
        <v>12000</v>
      </c>
      <c r="BQ263" s="150">
        <f t="shared" si="246"/>
        <v>50</v>
      </c>
      <c r="BR263" s="150">
        <f t="shared" si="247"/>
        <v>0</v>
      </c>
      <c r="BS263" s="150">
        <f t="shared" si="248"/>
        <v>0</v>
      </c>
      <c r="BT263" s="150">
        <f t="shared" si="249"/>
        <v>12000</v>
      </c>
      <c r="BU263" s="150">
        <f t="shared" si="269"/>
        <v>0</v>
      </c>
      <c r="BV263" s="150">
        <f t="shared" si="250"/>
        <v>0</v>
      </c>
      <c r="BW263" s="150">
        <f t="shared" si="251"/>
        <v>0</v>
      </c>
      <c r="BX263" s="150">
        <f t="shared" si="252"/>
        <v>0</v>
      </c>
      <c r="BY263" s="150">
        <f t="shared" si="253"/>
        <v>0</v>
      </c>
      <c r="BZ263" s="147">
        <f t="shared" si="270"/>
        <v>920</v>
      </c>
      <c r="CA263" s="147">
        <f t="shared" si="271"/>
        <v>219304.94000000012</v>
      </c>
    </row>
    <row r="264" spans="11:79">
      <c r="K264" s="132">
        <f t="shared" si="254"/>
        <v>212</v>
      </c>
      <c r="L264" s="148">
        <f t="shared" si="204"/>
        <v>52109</v>
      </c>
      <c r="M264" s="131">
        <f t="shared" si="255"/>
        <v>0</v>
      </c>
      <c r="N264" s="131">
        <f t="shared" si="205"/>
        <v>0</v>
      </c>
      <c r="O264" s="131">
        <f t="shared" si="206"/>
        <v>0</v>
      </c>
      <c r="P264" s="131">
        <f t="shared" si="207"/>
        <v>0</v>
      </c>
      <c r="Q264" s="131">
        <f t="shared" si="208"/>
        <v>0</v>
      </c>
      <c r="R264" s="131">
        <f t="shared" si="256"/>
        <v>0</v>
      </c>
      <c r="S264" s="131">
        <f t="shared" si="209"/>
        <v>0</v>
      </c>
      <c r="T264" s="131">
        <f t="shared" si="210"/>
        <v>0</v>
      </c>
      <c r="U264" s="131">
        <f t="shared" si="211"/>
        <v>0</v>
      </c>
      <c r="V264" s="131">
        <f t="shared" si="212"/>
        <v>0</v>
      </c>
      <c r="W264" s="131">
        <f t="shared" si="257"/>
        <v>0</v>
      </c>
      <c r="X264" s="131">
        <f t="shared" si="213"/>
        <v>0</v>
      </c>
      <c r="Y264" s="131">
        <f t="shared" si="214"/>
        <v>0</v>
      </c>
      <c r="Z264" s="131">
        <f t="shared" si="215"/>
        <v>0</v>
      </c>
      <c r="AA264" s="131">
        <f t="shared" si="216"/>
        <v>0</v>
      </c>
      <c r="AB264" s="131">
        <f t="shared" si="258"/>
        <v>54293.71</v>
      </c>
      <c r="AC264" s="131">
        <f t="shared" si="217"/>
        <v>271.47000000000003</v>
      </c>
      <c r="AD264" s="131">
        <f t="shared" si="218"/>
        <v>78.529999999999973</v>
      </c>
      <c r="AE264" s="131">
        <f t="shared" si="219"/>
        <v>970</v>
      </c>
      <c r="AF264" s="131">
        <f t="shared" si="220"/>
        <v>53245.18</v>
      </c>
      <c r="AG264" s="131">
        <f t="shared" si="259"/>
        <v>0</v>
      </c>
      <c r="AH264" s="131">
        <f t="shared" si="221"/>
        <v>0</v>
      </c>
      <c r="AI264" s="131">
        <f t="shared" si="222"/>
        <v>0</v>
      </c>
      <c r="AJ264" s="131">
        <f t="shared" si="223"/>
        <v>0</v>
      </c>
      <c r="AK264" s="131">
        <f t="shared" si="224"/>
        <v>0</v>
      </c>
      <c r="AL264" s="131">
        <f t="shared" si="260"/>
        <v>0</v>
      </c>
      <c r="AM264" s="131">
        <f t="shared" si="225"/>
        <v>0</v>
      </c>
      <c r="AN264" s="131">
        <f t="shared" si="226"/>
        <v>0</v>
      </c>
      <c r="AO264" s="131">
        <f t="shared" si="227"/>
        <v>0</v>
      </c>
      <c r="AP264" s="131">
        <f t="shared" si="228"/>
        <v>0</v>
      </c>
      <c r="AQ264" s="149">
        <f t="shared" si="261"/>
        <v>970</v>
      </c>
      <c r="AR264" s="149">
        <f t="shared" si="262"/>
        <v>231681.48000000042</v>
      </c>
      <c r="AS264" s="133"/>
      <c r="AT264" s="132">
        <f t="shared" si="263"/>
        <v>212</v>
      </c>
      <c r="AU264" s="148">
        <f t="shared" si="229"/>
        <v>52109</v>
      </c>
      <c r="AV264" s="131">
        <f t="shared" si="264"/>
        <v>0</v>
      </c>
      <c r="AW264" s="131">
        <f t="shared" si="230"/>
        <v>0</v>
      </c>
      <c r="AX264" s="131">
        <f t="shared" si="231"/>
        <v>0</v>
      </c>
      <c r="AY264" s="131">
        <f t="shared" si="232"/>
        <v>0</v>
      </c>
      <c r="AZ264" s="131">
        <f t="shared" si="233"/>
        <v>0</v>
      </c>
      <c r="BA264" s="131">
        <f t="shared" si="265"/>
        <v>0</v>
      </c>
      <c r="BB264" s="131">
        <f t="shared" si="234"/>
        <v>0</v>
      </c>
      <c r="BC264" s="131">
        <f t="shared" si="235"/>
        <v>0</v>
      </c>
      <c r="BD264" s="131">
        <f t="shared" si="236"/>
        <v>0</v>
      </c>
      <c r="BE264" s="131">
        <f t="shared" si="237"/>
        <v>0</v>
      </c>
      <c r="BF264" s="131">
        <f t="shared" si="266"/>
        <v>0</v>
      </c>
      <c r="BG264" s="131">
        <f t="shared" si="238"/>
        <v>0</v>
      </c>
      <c r="BH264" s="131">
        <f t="shared" si="239"/>
        <v>0</v>
      </c>
      <c r="BI264" s="131">
        <f t="shared" si="240"/>
        <v>0</v>
      </c>
      <c r="BJ264" s="131">
        <f t="shared" si="241"/>
        <v>0</v>
      </c>
      <c r="BK264" s="131">
        <f t="shared" si="267"/>
        <v>48571.83</v>
      </c>
      <c r="BL264" s="131">
        <f t="shared" si="242"/>
        <v>242.86</v>
      </c>
      <c r="BM264" s="131">
        <f t="shared" si="243"/>
        <v>107.13999999999999</v>
      </c>
      <c r="BN264" s="131">
        <f t="shared" si="244"/>
        <v>920</v>
      </c>
      <c r="BO264" s="131">
        <f t="shared" si="245"/>
        <v>47544.69</v>
      </c>
      <c r="BP264" s="131">
        <f t="shared" si="268"/>
        <v>12000</v>
      </c>
      <c r="BQ264" s="131">
        <f t="shared" si="246"/>
        <v>50</v>
      </c>
      <c r="BR264" s="131">
        <f t="shared" si="247"/>
        <v>0</v>
      </c>
      <c r="BS264" s="131">
        <f t="shared" si="248"/>
        <v>0</v>
      </c>
      <c r="BT264" s="131">
        <f t="shared" si="249"/>
        <v>12000</v>
      </c>
      <c r="BU264" s="131">
        <f t="shared" si="269"/>
        <v>0</v>
      </c>
      <c r="BV264" s="131">
        <f t="shared" si="250"/>
        <v>0</v>
      </c>
      <c r="BW264" s="131">
        <f t="shared" si="251"/>
        <v>0</v>
      </c>
      <c r="BX264" s="131">
        <f t="shared" si="252"/>
        <v>0</v>
      </c>
      <c r="BY264" s="131">
        <f t="shared" si="253"/>
        <v>0</v>
      </c>
      <c r="BZ264" s="147">
        <f t="shared" si="270"/>
        <v>920</v>
      </c>
      <c r="CA264" s="147">
        <f t="shared" si="271"/>
        <v>219597.8000000001</v>
      </c>
    </row>
    <row r="265" spans="11:79">
      <c r="K265" s="152">
        <f t="shared" si="254"/>
        <v>213</v>
      </c>
      <c r="L265" s="151">
        <f t="shared" si="204"/>
        <v>52139</v>
      </c>
      <c r="M265" s="150">
        <f t="shared" si="255"/>
        <v>0</v>
      </c>
      <c r="N265" s="150">
        <f t="shared" si="205"/>
        <v>0</v>
      </c>
      <c r="O265" s="150">
        <f t="shared" si="206"/>
        <v>0</v>
      </c>
      <c r="P265" s="150">
        <f t="shared" si="207"/>
        <v>0</v>
      </c>
      <c r="Q265" s="150">
        <f t="shared" si="208"/>
        <v>0</v>
      </c>
      <c r="R265" s="150">
        <f t="shared" si="256"/>
        <v>0</v>
      </c>
      <c r="S265" s="150">
        <f t="shared" si="209"/>
        <v>0</v>
      </c>
      <c r="T265" s="150">
        <f t="shared" si="210"/>
        <v>0</v>
      </c>
      <c r="U265" s="150">
        <f t="shared" si="211"/>
        <v>0</v>
      </c>
      <c r="V265" s="150">
        <f t="shared" si="212"/>
        <v>0</v>
      </c>
      <c r="W265" s="150">
        <f t="shared" si="257"/>
        <v>0</v>
      </c>
      <c r="X265" s="150">
        <f t="shared" si="213"/>
        <v>0</v>
      </c>
      <c r="Y265" s="150">
        <f t="shared" si="214"/>
        <v>0</v>
      </c>
      <c r="Z265" s="150">
        <f t="shared" si="215"/>
        <v>0</v>
      </c>
      <c r="AA265" s="150">
        <f t="shared" si="216"/>
        <v>0</v>
      </c>
      <c r="AB265" s="150">
        <f t="shared" si="258"/>
        <v>53245.18</v>
      </c>
      <c r="AC265" s="150">
        <f t="shared" si="217"/>
        <v>266.23</v>
      </c>
      <c r="AD265" s="150">
        <f t="shared" si="218"/>
        <v>83.769999999999982</v>
      </c>
      <c r="AE265" s="150">
        <f t="shared" si="219"/>
        <v>970</v>
      </c>
      <c r="AF265" s="150">
        <f t="shared" si="220"/>
        <v>52191.41</v>
      </c>
      <c r="AG265" s="150">
        <f t="shared" si="259"/>
        <v>0</v>
      </c>
      <c r="AH265" s="150">
        <f t="shared" si="221"/>
        <v>0</v>
      </c>
      <c r="AI265" s="150">
        <f t="shared" si="222"/>
        <v>0</v>
      </c>
      <c r="AJ265" s="150">
        <f t="shared" si="223"/>
        <v>0</v>
      </c>
      <c r="AK265" s="150">
        <f t="shared" si="224"/>
        <v>0</v>
      </c>
      <c r="AL265" s="150">
        <f t="shared" si="260"/>
        <v>0</v>
      </c>
      <c r="AM265" s="150">
        <f t="shared" si="225"/>
        <v>0</v>
      </c>
      <c r="AN265" s="150">
        <f t="shared" si="226"/>
        <v>0</v>
      </c>
      <c r="AO265" s="150">
        <f t="shared" si="227"/>
        <v>0</v>
      </c>
      <c r="AP265" s="150">
        <f t="shared" si="228"/>
        <v>0</v>
      </c>
      <c r="AQ265" s="149">
        <f t="shared" si="261"/>
        <v>970</v>
      </c>
      <c r="AR265" s="149">
        <f t="shared" si="262"/>
        <v>231947.71000000043</v>
      </c>
      <c r="AS265" s="133"/>
      <c r="AT265" s="152">
        <f t="shared" si="263"/>
        <v>213</v>
      </c>
      <c r="AU265" s="151">
        <f t="shared" si="229"/>
        <v>52139</v>
      </c>
      <c r="AV265" s="150">
        <f t="shared" si="264"/>
        <v>0</v>
      </c>
      <c r="AW265" s="150">
        <f t="shared" si="230"/>
        <v>0</v>
      </c>
      <c r="AX265" s="150">
        <f t="shared" si="231"/>
        <v>0</v>
      </c>
      <c r="AY265" s="150">
        <f t="shared" si="232"/>
        <v>0</v>
      </c>
      <c r="AZ265" s="150">
        <f t="shared" si="233"/>
        <v>0</v>
      </c>
      <c r="BA265" s="150">
        <f t="shared" si="265"/>
        <v>0</v>
      </c>
      <c r="BB265" s="150">
        <f t="shared" si="234"/>
        <v>0</v>
      </c>
      <c r="BC265" s="150">
        <f t="shared" si="235"/>
        <v>0</v>
      </c>
      <c r="BD265" s="150">
        <f t="shared" si="236"/>
        <v>0</v>
      </c>
      <c r="BE265" s="150">
        <f t="shared" si="237"/>
        <v>0</v>
      </c>
      <c r="BF265" s="150">
        <f t="shared" si="266"/>
        <v>0</v>
      </c>
      <c r="BG265" s="150">
        <f t="shared" si="238"/>
        <v>0</v>
      </c>
      <c r="BH265" s="150">
        <f t="shared" si="239"/>
        <v>0</v>
      </c>
      <c r="BI265" s="150">
        <f t="shared" si="240"/>
        <v>0</v>
      </c>
      <c r="BJ265" s="150">
        <f t="shared" si="241"/>
        <v>0</v>
      </c>
      <c r="BK265" s="150">
        <f t="shared" si="267"/>
        <v>47544.69</v>
      </c>
      <c r="BL265" s="150">
        <f t="shared" si="242"/>
        <v>237.72</v>
      </c>
      <c r="BM265" s="150">
        <f t="shared" si="243"/>
        <v>112.28</v>
      </c>
      <c r="BN265" s="150">
        <f t="shared" si="244"/>
        <v>920</v>
      </c>
      <c r="BO265" s="150">
        <f t="shared" si="245"/>
        <v>46512.41</v>
      </c>
      <c r="BP265" s="150">
        <f t="shared" si="268"/>
        <v>12000</v>
      </c>
      <c r="BQ265" s="150">
        <f t="shared" si="246"/>
        <v>50</v>
      </c>
      <c r="BR265" s="150">
        <f t="shared" si="247"/>
        <v>0</v>
      </c>
      <c r="BS265" s="150">
        <f t="shared" si="248"/>
        <v>0</v>
      </c>
      <c r="BT265" s="150">
        <f t="shared" si="249"/>
        <v>12000</v>
      </c>
      <c r="BU265" s="150">
        <f t="shared" si="269"/>
        <v>0</v>
      </c>
      <c r="BV265" s="150">
        <f t="shared" si="250"/>
        <v>0</v>
      </c>
      <c r="BW265" s="150">
        <f t="shared" si="251"/>
        <v>0</v>
      </c>
      <c r="BX265" s="150">
        <f t="shared" si="252"/>
        <v>0</v>
      </c>
      <c r="BY265" s="150">
        <f t="shared" si="253"/>
        <v>0</v>
      </c>
      <c r="BZ265" s="147">
        <f t="shared" si="270"/>
        <v>920</v>
      </c>
      <c r="CA265" s="147">
        <f t="shared" si="271"/>
        <v>219885.52000000011</v>
      </c>
    </row>
    <row r="266" spans="11:79">
      <c r="K266" s="132">
        <f t="shared" si="254"/>
        <v>214</v>
      </c>
      <c r="L266" s="148">
        <f t="shared" si="204"/>
        <v>52170</v>
      </c>
      <c r="M266" s="131">
        <f t="shared" si="255"/>
        <v>0</v>
      </c>
      <c r="N266" s="131">
        <f t="shared" si="205"/>
        <v>0</v>
      </c>
      <c r="O266" s="131">
        <f t="shared" si="206"/>
        <v>0</v>
      </c>
      <c r="P266" s="131">
        <f t="shared" si="207"/>
        <v>0</v>
      </c>
      <c r="Q266" s="131">
        <f t="shared" si="208"/>
        <v>0</v>
      </c>
      <c r="R266" s="131">
        <f t="shared" si="256"/>
        <v>0</v>
      </c>
      <c r="S266" s="131">
        <f t="shared" si="209"/>
        <v>0</v>
      </c>
      <c r="T266" s="131">
        <f t="shared" si="210"/>
        <v>0</v>
      </c>
      <c r="U266" s="131">
        <f t="shared" si="211"/>
        <v>0</v>
      </c>
      <c r="V266" s="131">
        <f t="shared" si="212"/>
        <v>0</v>
      </c>
      <c r="W266" s="131">
        <f t="shared" si="257"/>
        <v>0</v>
      </c>
      <c r="X266" s="131">
        <f t="shared" si="213"/>
        <v>0</v>
      </c>
      <c r="Y266" s="131">
        <f t="shared" si="214"/>
        <v>0</v>
      </c>
      <c r="Z266" s="131">
        <f t="shared" si="215"/>
        <v>0</v>
      </c>
      <c r="AA266" s="131">
        <f t="shared" si="216"/>
        <v>0</v>
      </c>
      <c r="AB266" s="131">
        <f t="shared" si="258"/>
        <v>52191.41</v>
      </c>
      <c r="AC266" s="131">
        <f t="shared" si="217"/>
        <v>260.95999999999998</v>
      </c>
      <c r="AD266" s="131">
        <f t="shared" si="218"/>
        <v>89.04000000000002</v>
      </c>
      <c r="AE266" s="131">
        <f t="shared" si="219"/>
        <v>970</v>
      </c>
      <c r="AF266" s="131">
        <f t="shared" si="220"/>
        <v>51132.37</v>
      </c>
      <c r="AG266" s="131">
        <f t="shared" si="259"/>
        <v>0</v>
      </c>
      <c r="AH266" s="131">
        <f t="shared" si="221"/>
        <v>0</v>
      </c>
      <c r="AI266" s="131">
        <f t="shared" si="222"/>
        <v>0</v>
      </c>
      <c r="AJ266" s="131">
        <f t="shared" si="223"/>
        <v>0</v>
      </c>
      <c r="AK266" s="131">
        <f t="shared" si="224"/>
        <v>0</v>
      </c>
      <c r="AL266" s="131">
        <f t="shared" si="260"/>
        <v>0</v>
      </c>
      <c r="AM266" s="131">
        <f t="shared" si="225"/>
        <v>0</v>
      </c>
      <c r="AN266" s="131">
        <f t="shared" si="226"/>
        <v>0</v>
      </c>
      <c r="AO266" s="131">
        <f t="shared" si="227"/>
        <v>0</v>
      </c>
      <c r="AP266" s="131">
        <f t="shared" si="228"/>
        <v>0</v>
      </c>
      <c r="AQ266" s="149">
        <f t="shared" si="261"/>
        <v>970</v>
      </c>
      <c r="AR266" s="149">
        <f t="shared" si="262"/>
        <v>232208.67000000042</v>
      </c>
      <c r="AS266" s="133"/>
      <c r="AT266" s="132">
        <f t="shared" si="263"/>
        <v>214</v>
      </c>
      <c r="AU266" s="148">
        <f t="shared" si="229"/>
        <v>52170</v>
      </c>
      <c r="AV266" s="131">
        <f t="shared" si="264"/>
        <v>0</v>
      </c>
      <c r="AW266" s="131">
        <f t="shared" si="230"/>
        <v>0</v>
      </c>
      <c r="AX266" s="131">
        <f t="shared" si="231"/>
        <v>0</v>
      </c>
      <c r="AY266" s="131">
        <f t="shared" si="232"/>
        <v>0</v>
      </c>
      <c r="AZ266" s="131">
        <f t="shared" si="233"/>
        <v>0</v>
      </c>
      <c r="BA266" s="131">
        <f t="shared" si="265"/>
        <v>0</v>
      </c>
      <c r="BB266" s="131">
        <f t="shared" si="234"/>
        <v>0</v>
      </c>
      <c r="BC266" s="131">
        <f t="shared" si="235"/>
        <v>0</v>
      </c>
      <c r="BD266" s="131">
        <f t="shared" si="236"/>
        <v>0</v>
      </c>
      <c r="BE266" s="131">
        <f t="shared" si="237"/>
        <v>0</v>
      </c>
      <c r="BF266" s="131">
        <f t="shared" si="266"/>
        <v>0</v>
      </c>
      <c r="BG266" s="131">
        <f t="shared" si="238"/>
        <v>0</v>
      </c>
      <c r="BH266" s="131">
        <f t="shared" si="239"/>
        <v>0</v>
      </c>
      <c r="BI266" s="131">
        <f t="shared" si="240"/>
        <v>0</v>
      </c>
      <c r="BJ266" s="131">
        <f t="shared" si="241"/>
        <v>0</v>
      </c>
      <c r="BK266" s="131">
        <f t="shared" si="267"/>
        <v>46512.41</v>
      </c>
      <c r="BL266" s="131">
        <f t="shared" si="242"/>
        <v>232.56</v>
      </c>
      <c r="BM266" s="131">
        <f t="shared" si="243"/>
        <v>117.44</v>
      </c>
      <c r="BN266" s="131">
        <f t="shared" si="244"/>
        <v>920</v>
      </c>
      <c r="BO266" s="131">
        <f t="shared" si="245"/>
        <v>45474.97</v>
      </c>
      <c r="BP266" s="131">
        <f t="shared" si="268"/>
        <v>12000</v>
      </c>
      <c r="BQ266" s="131">
        <f t="shared" si="246"/>
        <v>50</v>
      </c>
      <c r="BR266" s="131">
        <f t="shared" si="247"/>
        <v>0</v>
      </c>
      <c r="BS266" s="131">
        <f t="shared" si="248"/>
        <v>0</v>
      </c>
      <c r="BT266" s="131">
        <f t="shared" si="249"/>
        <v>12000</v>
      </c>
      <c r="BU266" s="131">
        <f t="shared" si="269"/>
        <v>0</v>
      </c>
      <c r="BV266" s="131">
        <f t="shared" si="250"/>
        <v>0</v>
      </c>
      <c r="BW266" s="131">
        <f t="shared" si="251"/>
        <v>0</v>
      </c>
      <c r="BX266" s="131">
        <f t="shared" si="252"/>
        <v>0</v>
      </c>
      <c r="BY266" s="131">
        <f t="shared" si="253"/>
        <v>0</v>
      </c>
      <c r="BZ266" s="147">
        <f t="shared" si="270"/>
        <v>920</v>
      </c>
      <c r="CA266" s="147">
        <f t="shared" si="271"/>
        <v>220168.0800000001</v>
      </c>
    </row>
    <row r="267" spans="11:79">
      <c r="K267" s="152">
        <f t="shared" si="254"/>
        <v>215</v>
      </c>
      <c r="L267" s="151">
        <f t="shared" si="204"/>
        <v>52200</v>
      </c>
      <c r="M267" s="150">
        <f t="shared" si="255"/>
        <v>0</v>
      </c>
      <c r="N267" s="150">
        <f t="shared" si="205"/>
        <v>0</v>
      </c>
      <c r="O267" s="150">
        <f t="shared" si="206"/>
        <v>0</v>
      </c>
      <c r="P267" s="150">
        <f t="shared" si="207"/>
        <v>0</v>
      </c>
      <c r="Q267" s="150">
        <f t="shared" si="208"/>
        <v>0</v>
      </c>
      <c r="R267" s="150">
        <f t="shared" si="256"/>
        <v>0</v>
      </c>
      <c r="S267" s="150">
        <f t="shared" si="209"/>
        <v>0</v>
      </c>
      <c r="T267" s="150">
        <f t="shared" si="210"/>
        <v>0</v>
      </c>
      <c r="U267" s="150">
        <f t="shared" si="211"/>
        <v>0</v>
      </c>
      <c r="V267" s="150">
        <f t="shared" si="212"/>
        <v>0</v>
      </c>
      <c r="W267" s="150">
        <f t="shared" si="257"/>
        <v>0</v>
      </c>
      <c r="X267" s="150">
        <f t="shared" si="213"/>
        <v>0</v>
      </c>
      <c r="Y267" s="150">
        <f t="shared" si="214"/>
        <v>0</v>
      </c>
      <c r="Z267" s="150">
        <f t="shared" si="215"/>
        <v>0</v>
      </c>
      <c r="AA267" s="150">
        <f t="shared" si="216"/>
        <v>0</v>
      </c>
      <c r="AB267" s="150">
        <f t="shared" si="258"/>
        <v>51132.37</v>
      </c>
      <c r="AC267" s="150">
        <f t="shared" si="217"/>
        <v>255.66</v>
      </c>
      <c r="AD267" s="150">
        <f t="shared" si="218"/>
        <v>94.34</v>
      </c>
      <c r="AE267" s="150">
        <f t="shared" si="219"/>
        <v>970</v>
      </c>
      <c r="AF267" s="150">
        <f t="shared" si="220"/>
        <v>50068.03</v>
      </c>
      <c r="AG267" s="150">
        <f t="shared" si="259"/>
        <v>0</v>
      </c>
      <c r="AH267" s="150">
        <f t="shared" si="221"/>
        <v>0</v>
      </c>
      <c r="AI267" s="150">
        <f t="shared" si="222"/>
        <v>0</v>
      </c>
      <c r="AJ267" s="150">
        <f t="shared" si="223"/>
        <v>0</v>
      </c>
      <c r="AK267" s="150">
        <f t="shared" si="224"/>
        <v>0</v>
      </c>
      <c r="AL267" s="150">
        <f t="shared" si="260"/>
        <v>0</v>
      </c>
      <c r="AM267" s="150">
        <f t="shared" si="225"/>
        <v>0</v>
      </c>
      <c r="AN267" s="150">
        <f t="shared" si="226"/>
        <v>0</v>
      </c>
      <c r="AO267" s="150">
        <f t="shared" si="227"/>
        <v>0</v>
      </c>
      <c r="AP267" s="150">
        <f t="shared" si="228"/>
        <v>0</v>
      </c>
      <c r="AQ267" s="149">
        <f t="shared" si="261"/>
        <v>970</v>
      </c>
      <c r="AR267" s="149">
        <f t="shared" si="262"/>
        <v>232464.33000000042</v>
      </c>
      <c r="AS267" s="133"/>
      <c r="AT267" s="152">
        <f t="shared" si="263"/>
        <v>215</v>
      </c>
      <c r="AU267" s="151">
        <f t="shared" si="229"/>
        <v>52200</v>
      </c>
      <c r="AV267" s="150">
        <f t="shared" si="264"/>
        <v>0</v>
      </c>
      <c r="AW267" s="150">
        <f t="shared" si="230"/>
        <v>0</v>
      </c>
      <c r="AX267" s="150">
        <f t="shared" si="231"/>
        <v>0</v>
      </c>
      <c r="AY267" s="150">
        <f t="shared" si="232"/>
        <v>0</v>
      </c>
      <c r="AZ267" s="150">
        <f t="shared" si="233"/>
        <v>0</v>
      </c>
      <c r="BA267" s="150">
        <f t="shared" si="265"/>
        <v>0</v>
      </c>
      <c r="BB267" s="150">
        <f t="shared" si="234"/>
        <v>0</v>
      </c>
      <c r="BC267" s="150">
        <f t="shared" si="235"/>
        <v>0</v>
      </c>
      <c r="BD267" s="150">
        <f t="shared" si="236"/>
        <v>0</v>
      </c>
      <c r="BE267" s="150">
        <f t="shared" si="237"/>
        <v>0</v>
      </c>
      <c r="BF267" s="150">
        <f t="shared" si="266"/>
        <v>0</v>
      </c>
      <c r="BG267" s="150">
        <f t="shared" si="238"/>
        <v>0</v>
      </c>
      <c r="BH267" s="150">
        <f t="shared" si="239"/>
        <v>0</v>
      </c>
      <c r="BI267" s="150">
        <f t="shared" si="240"/>
        <v>0</v>
      </c>
      <c r="BJ267" s="150">
        <f t="shared" si="241"/>
        <v>0</v>
      </c>
      <c r="BK267" s="150">
        <f t="shared" si="267"/>
        <v>45474.97</v>
      </c>
      <c r="BL267" s="150">
        <f t="shared" si="242"/>
        <v>227.37</v>
      </c>
      <c r="BM267" s="150">
        <f t="shared" si="243"/>
        <v>122.63</v>
      </c>
      <c r="BN267" s="150">
        <f t="shared" si="244"/>
        <v>920</v>
      </c>
      <c r="BO267" s="150">
        <f t="shared" si="245"/>
        <v>44432.34</v>
      </c>
      <c r="BP267" s="150">
        <f t="shared" si="268"/>
        <v>12000</v>
      </c>
      <c r="BQ267" s="150">
        <f t="shared" si="246"/>
        <v>50</v>
      </c>
      <c r="BR267" s="150">
        <f t="shared" si="247"/>
        <v>0</v>
      </c>
      <c r="BS267" s="150">
        <f t="shared" si="248"/>
        <v>0</v>
      </c>
      <c r="BT267" s="150">
        <f t="shared" si="249"/>
        <v>12000</v>
      </c>
      <c r="BU267" s="150">
        <f t="shared" si="269"/>
        <v>0</v>
      </c>
      <c r="BV267" s="150">
        <f t="shared" si="250"/>
        <v>0</v>
      </c>
      <c r="BW267" s="150">
        <f t="shared" si="251"/>
        <v>0</v>
      </c>
      <c r="BX267" s="150">
        <f t="shared" si="252"/>
        <v>0</v>
      </c>
      <c r="BY267" s="150">
        <f t="shared" si="253"/>
        <v>0</v>
      </c>
      <c r="BZ267" s="147">
        <f t="shared" si="270"/>
        <v>920</v>
      </c>
      <c r="CA267" s="147">
        <f t="shared" si="271"/>
        <v>220445.4500000001</v>
      </c>
    </row>
    <row r="268" spans="11:79">
      <c r="K268" s="132">
        <f t="shared" si="254"/>
        <v>216</v>
      </c>
      <c r="L268" s="148">
        <f t="shared" si="204"/>
        <v>52231</v>
      </c>
      <c r="M268" s="131">
        <f t="shared" si="255"/>
        <v>0</v>
      </c>
      <c r="N268" s="131">
        <f t="shared" si="205"/>
        <v>0</v>
      </c>
      <c r="O268" s="131">
        <f t="shared" si="206"/>
        <v>0</v>
      </c>
      <c r="P268" s="131">
        <f t="shared" si="207"/>
        <v>0</v>
      </c>
      <c r="Q268" s="131">
        <f t="shared" si="208"/>
        <v>0</v>
      </c>
      <c r="R268" s="131">
        <f t="shared" si="256"/>
        <v>0</v>
      </c>
      <c r="S268" s="131">
        <f t="shared" si="209"/>
        <v>0</v>
      </c>
      <c r="T268" s="131">
        <f t="shared" si="210"/>
        <v>0</v>
      </c>
      <c r="U268" s="131">
        <f t="shared" si="211"/>
        <v>0</v>
      </c>
      <c r="V268" s="131">
        <f t="shared" si="212"/>
        <v>0</v>
      </c>
      <c r="W268" s="131">
        <f t="shared" si="257"/>
        <v>0</v>
      </c>
      <c r="X268" s="131">
        <f t="shared" si="213"/>
        <v>0</v>
      </c>
      <c r="Y268" s="131">
        <f t="shared" si="214"/>
        <v>0</v>
      </c>
      <c r="Z268" s="131">
        <f t="shared" si="215"/>
        <v>0</v>
      </c>
      <c r="AA268" s="131">
        <f t="shared" si="216"/>
        <v>0</v>
      </c>
      <c r="AB268" s="131">
        <f t="shared" si="258"/>
        <v>50068.03</v>
      </c>
      <c r="AC268" s="131">
        <f t="shared" si="217"/>
        <v>250.34</v>
      </c>
      <c r="AD268" s="131">
        <f t="shared" si="218"/>
        <v>99.66</v>
      </c>
      <c r="AE268" s="131">
        <f t="shared" si="219"/>
        <v>970</v>
      </c>
      <c r="AF268" s="131">
        <f t="shared" si="220"/>
        <v>48998.37</v>
      </c>
      <c r="AG268" s="131">
        <f t="shared" si="259"/>
        <v>0</v>
      </c>
      <c r="AH268" s="131">
        <f t="shared" si="221"/>
        <v>0</v>
      </c>
      <c r="AI268" s="131">
        <f t="shared" si="222"/>
        <v>0</v>
      </c>
      <c r="AJ268" s="131">
        <f t="shared" si="223"/>
        <v>0</v>
      </c>
      <c r="AK268" s="131">
        <f t="shared" si="224"/>
        <v>0</v>
      </c>
      <c r="AL268" s="131">
        <f t="shared" si="260"/>
        <v>0</v>
      </c>
      <c r="AM268" s="131">
        <f t="shared" si="225"/>
        <v>0</v>
      </c>
      <c r="AN268" s="131">
        <f t="shared" si="226"/>
        <v>0</v>
      </c>
      <c r="AO268" s="131">
        <f t="shared" si="227"/>
        <v>0</v>
      </c>
      <c r="AP268" s="131">
        <f t="shared" si="228"/>
        <v>0</v>
      </c>
      <c r="AQ268" s="149">
        <f t="shared" si="261"/>
        <v>970</v>
      </c>
      <c r="AR268" s="149">
        <f t="shared" si="262"/>
        <v>232714.67000000042</v>
      </c>
      <c r="AS268" s="133"/>
      <c r="AT268" s="132">
        <f t="shared" si="263"/>
        <v>216</v>
      </c>
      <c r="AU268" s="148">
        <f t="shared" si="229"/>
        <v>52231</v>
      </c>
      <c r="AV268" s="131">
        <f t="shared" si="264"/>
        <v>0</v>
      </c>
      <c r="AW268" s="131">
        <f t="shared" si="230"/>
        <v>0</v>
      </c>
      <c r="AX268" s="131">
        <f t="shared" si="231"/>
        <v>0</v>
      </c>
      <c r="AY268" s="131">
        <f t="shared" si="232"/>
        <v>0</v>
      </c>
      <c r="AZ268" s="131">
        <f t="shared" si="233"/>
        <v>0</v>
      </c>
      <c r="BA268" s="131">
        <f t="shared" si="265"/>
        <v>0</v>
      </c>
      <c r="BB268" s="131">
        <f t="shared" si="234"/>
        <v>0</v>
      </c>
      <c r="BC268" s="131">
        <f t="shared" si="235"/>
        <v>0</v>
      </c>
      <c r="BD268" s="131">
        <f t="shared" si="236"/>
        <v>0</v>
      </c>
      <c r="BE268" s="131">
        <f t="shared" si="237"/>
        <v>0</v>
      </c>
      <c r="BF268" s="131">
        <f t="shared" si="266"/>
        <v>0</v>
      </c>
      <c r="BG268" s="131">
        <f t="shared" si="238"/>
        <v>0</v>
      </c>
      <c r="BH268" s="131">
        <f t="shared" si="239"/>
        <v>0</v>
      </c>
      <c r="BI268" s="131">
        <f t="shared" si="240"/>
        <v>0</v>
      </c>
      <c r="BJ268" s="131">
        <f t="shared" si="241"/>
        <v>0</v>
      </c>
      <c r="BK268" s="131">
        <f t="shared" si="267"/>
        <v>44432.34</v>
      </c>
      <c r="BL268" s="131">
        <f t="shared" si="242"/>
        <v>222.16</v>
      </c>
      <c r="BM268" s="131">
        <f t="shared" si="243"/>
        <v>127.84</v>
      </c>
      <c r="BN268" s="131">
        <f t="shared" si="244"/>
        <v>920</v>
      </c>
      <c r="BO268" s="131">
        <f t="shared" si="245"/>
        <v>43384.5</v>
      </c>
      <c r="BP268" s="131">
        <f t="shared" si="268"/>
        <v>12000</v>
      </c>
      <c r="BQ268" s="131">
        <f t="shared" si="246"/>
        <v>50</v>
      </c>
      <c r="BR268" s="131">
        <f t="shared" si="247"/>
        <v>0</v>
      </c>
      <c r="BS268" s="131">
        <f t="shared" si="248"/>
        <v>0</v>
      </c>
      <c r="BT268" s="131">
        <f t="shared" si="249"/>
        <v>12000</v>
      </c>
      <c r="BU268" s="131">
        <f t="shared" si="269"/>
        <v>0</v>
      </c>
      <c r="BV268" s="131">
        <f t="shared" si="250"/>
        <v>0</v>
      </c>
      <c r="BW268" s="131">
        <f t="shared" si="251"/>
        <v>0</v>
      </c>
      <c r="BX268" s="131">
        <f t="shared" si="252"/>
        <v>0</v>
      </c>
      <c r="BY268" s="131">
        <f t="shared" si="253"/>
        <v>0</v>
      </c>
      <c r="BZ268" s="147">
        <f t="shared" si="270"/>
        <v>920</v>
      </c>
      <c r="CA268" s="147">
        <f t="shared" si="271"/>
        <v>220717.6100000001</v>
      </c>
    </row>
    <row r="269" spans="11:79">
      <c r="K269" s="152">
        <f t="shared" si="254"/>
        <v>217</v>
      </c>
      <c r="L269" s="151">
        <f t="shared" si="204"/>
        <v>52262</v>
      </c>
      <c r="M269" s="150">
        <f t="shared" si="255"/>
        <v>0</v>
      </c>
      <c r="N269" s="150">
        <f t="shared" si="205"/>
        <v>0</v>
      </c>
      <c r="O269" s="150">
        <f t="shared" si="206"/>
        <v>0</v>
      </c>
      <c r="P269" s="150">
        <f t="shared" si="207"/>
        <v>0</v>
      </c>
      <c r="Q269" s="150">
        <f t="shared" si="208"/>
        <v>0</v>
      </c>
      <c r="R269" s="150">
        <f t="shared" si="256"/>
        <v>0</v>
      </c>
      <c r="S269" s="150">
        <f t="shared" si="209"/>
        <v>0</v>
      </c>
      <c r="T269" s="150">
        <f t="shared" si="210"/>
        <v>0</v>
      </c>
      <c r="U269" s="150">
        <f t="shared" si="211"/>
        <v>0</v>
      </c>
      <c r="V269" s="150">
        <f t="shared" si="212"/>
        <v>0</v>
      </c>
      <c r="W269" s="150">
        <f t="shared" si="257"/>
        <v>0</v>
      </c>
      <c r="X269" s="150">
        <f t="shared" si="213"/>
        <v>0</v>
      </c>
      <c r="Y269" s="150">
        <f t="shared" si="214"/>
        <v>0</v>
      </c>
      <c r="Z269" s="150">
        <f t="shared" si="215"/>
        <v>0</v>
      </c>
      <c r="AA269" s="150">
        <f t="shared" si="216"/>
        <v>0</v>
      </c>
      <c r="AB269" s="150">
        <f t="shared" si="258"/>
        <v>48998.37</v>
      </c>
      <c r="AC269" s="150">
        <f t="shared" si="217"/>
        <v>244.99</v>
      </c>
      <c r="AD269" s="150">
        <f t="shared" si="218"/>
        <v>105.00999999999999</v>
      </c>
      <c r="AE269" s="150">
        <f t="shared" si="219"/>
        <v>970</v>
      </c>
      <c r="AF269" s="150">
        <f t="shared" si="220"/>
        <v>47923.360000000001</v>
      </c>
      <c r="AG269" s="150">
        <f t="shared" si="259"/>
        <v>0</v>
      </c>
      <c r="AH269" s="150">
        <f t="shared" si="221"/>
        <v>0</v>
      </c>
      <c r="AI269" s="150">
        <f t="shared" si="222"/>
        <v>0</v>
      </c>
      <c r="AJ269" s="150">
        <f t="shared" si="223"/>
        <v>0</v>
      </c>
      <c r="AK269" s="150">
        <f t="shared" si="224"/>
        <v>0</v>
      </c>
      <c r="AL269" s="150">
        <f t="shared" si="260"/>
        <v>0</v>
      </c>
      <c r="AM269" s="150">
        <f t="shared" si="225"/>
        <v>0</v>
      </c>
      <c r="AN269" s="150">
        <f t="shared" si="226"/>
        <v>0</v>
      </c>
      <c r="AO269" s="150">
        <f t="shared" si="227"/>
        <v>0</v>
      </c>
      <c r="AP269" s="150">
        <f t="shared" si="228"/>
        <v>0</v>
      </c>
      <c r="AQ269" s="149">
        <f t="shared" si="261"/>
        <v>970</v>
      </c>
      <c r="AR269" s="149">
        <f t="shared" si="262"/>
        <v>232959.66000000041</v>
      </c>
      <c r="AS269" s="133"/>
      <c r="AT269" s="152">
        <f t="shared" si="263"/>
        <v>217</v>
      </c>
      <c r="AU269" s="151">
        <f t="shared" si="229"/>
        <v>52262</v>
      </c>
      <c r="AV269" s="150">
        <f t="shared" si="264"/>
        <v>0</v>
      </c>
      <c r="AW269" s="150">
        <f t="shared" si="230"/>
        <v>0</v>
      </c>
      <c r="AX269" s="150">
        <f t="shared" si="231"/>
        <v>0</v>
      </c>
      <c r="AY269" s="150">
        <f t="shared" si="232"/>
        <v>0</v>
      </c>
      <c r="AZ269" s="150">
        <f t="shared" si="233"/>
        <v>0</v>
      </c>
      <c r="BA269" s="150">
        <f t="shared" si="265"/>
        <v>0</v>
      </c>
      <c r="BB269" s="150">
        <f t="shared" si="234"/>
        <v>0</v>
      </c>
      <c r="BC269" s="150">
        <f t="shared" si="235"/>
        <v>0</v>
      </c>
      <c r="BD269" s="150">
        <f t="shared" si="236"/>
        <v>0</v>
      </c>
      <c r="BE269" s="150">
        <f t="shared" si="237"/>
        <v>0</v>
      </c>
      <c r="BF269" s="150">
        <f t="shared" si="266"/>
        <v>0</v>
      </c>
      <c r="BG269" s="150">
        <f t="shared" si="238"/>
        <v>0</v>
      </c>
      <c r="BH269" s="150">
        <f t="shared" si="239"/>
        <v>0</v>
      </c>
      <c r="BI269" s="150">
        <f t="shared" si="240"/>
        <v>0</v>
      </c>
      <c r="BJ269" s="150">
        <f t="shared" si="241"/>
        <v>0</v>
      </c>
      <c r="BK269" s="150">
        <f t="shared" si="267"/>
        <v>43384.5</v>
      </c>
      <c r="BL269" s="150">
        <f t="shared" si="242"/>
        <v>216.92</v>
      </c>
      <c r="BM269" s="150">
        <f t="shared" si="243"/>
        <v>133.08000000000001</v>
      </c>
      <c r="BN269" s="150">
        <f t="shared" si="244"/>
        <v>920</v>
      </c>
      <c r="BO269" s="150">
        <f t="shared" si="245"/>
        <v>42331.42</v>
      </c>
      <c r="BP269" s="150">
        <f t="shared" si="268"/>
        <v>12000</v>
      </c>
      <c r="BQ269" s="150">
        <f t="shared" si="246"/>
        <v>50</v>
      </c>
      <c r="BR269" s="150">
        <f t="shared" si="247"/>
        <v>0</v>
      </c>
      <c r="BS269" s="150">
        <f t="shared" si="248"/>
        <v>0</v>
      </c>
      <c r="BT269" s="150">
        <f t="shared" si="249"/>
        <v>12000</v>
      </c>
      <c r="BU269" s="150">
        <f t="shared" si="269"/>
        <v>0</v>
      </c>
      <c r="BV269" s="150">
        <f t="shared" si="250"/>
        <v>0</v>
      </c>
      <c r="BW269" s="150">
        <f t="shared" si="251"/>
        <v>0</v>
      </c>
      <c r="BX269" s="150">
        <f t="shared" si="252"/>
        <v>0</v>
      </c>
      <c r="BY269" s="150">
        <f t="shared" si="253"/>
        <v>0</v>
      </c>
      <c r="BZ269" s="147">
        <f t="shared" si="270"/>
        <v>920</v>
      </c>
      <c r="CA269" s="147">
        <f t="shared" si="271"/>
        <v>220984.53000000012</v>
      </c>
    </row>
    <row r="270" spans="11:79">
      <c r="K270" s="132">
        <f t="shared" si="254"/>
        <v>218</v>
      </c>
      <c r="L270" s="148">
        <f t="shared" si="204"/>
        <v>52290</v>
      </c>
      <c r="M270" s="131">
        <f t="shared" si="255"/>
        <v>0</v>
      </c>
      <c r="N270" s="131">
        <f t="shared" si="205"/>
        <v>0</v>
      </c>
      <c r="O270" s="131">
        <f t="shared" si="206"/>
        <v>0</v>
      </c>
      <c r="P270" s="131">
        <f t="shared" si="207"/>
        <v>0</v>
      </c>
      <c r="Q270" s="131">
        <f t="shared" si="208"/>
        <v>0</v>
      </c>
      <c r="R270" s="131">
        <f t="shared" si="256"/>
        <v>0</v>
      </c>
      <c r="S270" s="131">
        <f t="shared" si="209"/>
        <v>0</v>
      </c>
      <c r="T270" s="131">
        <f t="shared" si="210"/>
        <v>0</v>
      </c>
      <c r="U270" s="131">
        <f t="shared" si="211"/>
        <v>0</v>
      </c>
      <c r="V270" s="131">
        <f t="shared" si="212"/>
        <v>0</v>
      </c>
      <c r="W270" s="131">
        <f t="shared" si="257"/>
        <v>0</v>
      </c>
      <c r="X270" s="131">
        <f t="shared" si="213"/>
        <v>0</v>
      </c>
      <c r="Y270" s="131">
        <f t="shared" si="214"/>
        <v>0</v>
      </c>
      <c r="Z270" s="131">
        <f t="shared" si="215"/>
        <v>0</v>
      </c>
      <c r="AA270" s="131">
        <f t="shared" si="216"/>
        <v>0</v>
      </c>
      <c r="AB270" s="131">
        <f t="shared" si="258"/>
        <v>47923.360000000001</v>
      </c>
      <c r="AC270" s="131">
        <f t="shared" si="217"/>
        <v>239.62</v>
      </c>
      <c r="AD270" s="131">
        <f t="shared" si="218"/>
        <v>110.38</v>
      </c>
      <c r="AE270" s="131">
        <f t="shared" si="219"/>
        <v>970</v>
      </c>
      <c r="AF270" s="131">
        <f t="shared" si="220"/>
        <v>46842.98</v>
      </c>
      <c r="AG270" s="131">
        <f t="shared" si="259"/>
        <v>0</v>
      </c>
      <c r="AH270" s="131">
        <f t="shared" si="221"/>
        <v>0</v>
      </c>
      <c r="AI270" s="131">
        <f t="shared" si="222"/>
        <v>0</v>
      </c>
      <c r="AJ270" s="131">
        <f t="shared" si="223"/>
        <v>0</v>
      </c>
      <c r="AK270" s="131">
        <f t="shared" si="224"/>
        <v>0</v>
      </c>
      <c r="AL270" s="131">
        <f t="shared" si="260"/>
        <v>0</v>
      </c>
      <c r="AM270" s="131">
        <f t="shared" si="225"/>
        <v>0</v>
      </c>
      <c r="AN270" s="131">
        <f t="shared" si="226"/>
        <v>0</v>
      </c>
      <c r="AO270" s="131">
        <f t="shared" si="227"/>
        <v>0</v>
      </c>
      <c r="AP270" s="131">
        <f t="shared" si="228"/>
        <v>0</v>
      </c>
      <c r="AQ270" s="149">
        <f t="shared" si="261"/>
        <v>970</v>
      </c>
      <c r="AR270" s="149">
        <f t="shared" si="262"/>
        <v>233199.28000000041</v>
      </c>
      <c r="AS270" s="133"/>
      <c r="AT270" s="132">
        <f t="shared" si="263"/>
        <v>218</v>
      </c>
      <c r="AU270" s="148">
        <f t="shared" si="229"/>
        <v>52290</v>
      </c>
      <c r="AV270" s="131">
        <f t="shared" si="264"/>
        <v>0</v>
      </c>
      <c r="AW270" s="131">
        <f t="shared" si="230"/>
        <v>0</v>
      </c>
      <c r="AX270" s="131">
        <f t="shared" si="231"/>
        <v>0</v>
      </c>
      <c r="AY270" s="131">
        <f t="shared" si="232"/>
        <v>0</v>
      </c>
      <c r="AZ270" s="131">
        <f t="shared" si="233"/>
        <v>0</v>
      </c>
      <c r="BA270" s="131">
        <f t="shared" si="265"/>
        <v>0</v>
      </c>
      <c r="BB270" s="131">
        <f t="shared" si="234"/>
        <v>0</v>
      </c>
      <c r="BC270" s="131">
        <f t="shared" si="235"/>
        <v>0</v>
      </c>
      <c r="BD270" s="131">
        <f t="shared" si="236"/>
        <v>0</v>
      </c>
      <c r="BE270" s="131">
        <f t="shared" si="237"/>
        <v>0</v>
      </c>
      <c r="BF270" s="131">
        <f t="shared" si="266"/>
        <v>0</v>
      </c>
      <c r="BG270" s="131">
        <f t="shared" si="238"/>
        <v>0</v>
      </c>
      <c r="BH270" s="131">
        <f t="shared" si="239"/>
        <v>0</v>
      </c>
      <c r="BI270" s="131">
        <f t="shared" si="240"/>
        <v>0</v>
      </c>
      <c r="BJ270" s="131">
        <f t="shared" si="241"/>
        <v>0</v>
      </c>
      <c r="BK270" s="131">
        <f t="shared" si="267"/>
        <v>42331.42</v>
      </c>
      <c r="BL270" s="131">
        <f t="shared" si="242"/>
        <v>211.66</v>
      </c>
      <c r="BM270" s="131">
        <f t="shared" si="243"/>
        <v>138.34</v>
      </c>
      <c r="BN270" s="131">
        <f t="shared" si="244"/>
        <v>920</v>
      </c>
      <c r="BO270" s="131">
        <f t="shared" si="245"/>
        <v>41273.08</v>
      </c>
      <c r="BP270" s="131">
        <f t="shared" si="268"/>
        <v>12000</v>
      </c>
      <c r="BQ270" s="131">
        <f t="shared" si="246"/>
        <v>50</v>
      </c>
      <c r="BR270" s="131">
        <f t="shared" si="247"/>
        <v>0</v>
      </c>
      <c r="BS270" s="131">
        <f t="shared" si="248"/>
        <v>0</v>
      </c>
      <c r="BT270" s="131">
        <f t="shared" si="249"/>
        <v>12000</v>
      </c>
      <c r="BU270" s="131">
        <f t="shared" si="269"/>
        <v>0</v>
      </c>
      <c r="BV270" s="131">
        <f t="shared" si="250"/>
        <v>0</v>
      </c>
      <c r="BW270" s="131">
        <f t="shared" si="251"/>
        <v>0</v>
      </c>
      <c r="BX270" s="131">
        <f t="shared" si="252"/>
        <v>0</v>
      </c>
      <c r="BY270" s="131">
        <f t="shared" si="253"/>
        <v>0</v>
      </c>
      <c r="BZ270" s="147">
        <f t="shared" si="270"/>
        <v>920</v>
      </c>
      <c r="CA270" s="147">
        <f t="shared" si="271"/>
        <v>221246.19000000012</v>
      </c>
    </row>
    <row r="271" spans="11:79">
      <c r="K271" s="152">
        <f t="shared" si="254"/>
        <v>219</v>
      </c>
      <c r="L271" s="151">
        <f t="shared" si="204"/>
        <v>52321</v>
      </c>
      <c r="M271" s="150">
        <f t="shared" si="255"/>
        <v>0</v>
      </c>
      <c r="N271" s="150">
        <f t="shared" si="205"/>
        <v>0</v>
      </c>
      <c r="O271" s="150">
        <f t="shared" si="206"/>
        <v>0</v>
      </c>
      <c r="P271" s="150">
        <f t="shared" si="207"/>
        <v>0</v>
      </c>
      <c r="Q271" s="150">
        <f t="shared" si="208"/>
        <v>0</v>
      </c>
      <c r="R271" s="150">
        <f t="shared" si="256"/>
        <v>0</v>
      </c>
      <c r="S271" s="150">
        <f t="shared" si="209"/>
        <v>0</v>
      </c>
      <c r="T271" s="150">
        <f t="shared" si="210"/>
        <v>0</v>
      </c>
      <c r="U271" s="150">
        <f t="shared" si="211"/>
        <v>0</v>
      </c>
      <c r="V271" s="150">
        <f t="shared" si="212"/>
        <v>0</v>
      </c>
      <c r="W271" s="150">
        <f t="shared" si="257"/>
        <v>0</v>
      </c>
      <c r="X271" s="150">
        <f t="shared" si="213"/>
        <v>0</v>
      </c>
      <c r="Y271" s="150">
        <f t="shared" si="214"/>
        <v>0</v>
      </c>
      <c r="Z271" s="150">
        <f t="shared" si="215"/>
        <v>0</v>
      </c>
      <c r="AA271" s="150">
        <f t="shared" si="216"/>
        <v>0</v>
      </c>
      <c r="AB271" s="150">
        <f t="shared" si="258"/>
        <v>46842.98</v>
      </c>
      <c r="AC271" s="150">
        <f t="shared" si="217"/>
        <v>234.21</v>
      </c>
      <c r="AD271" s="150">
        <f t="shared" si="218"/>
        <v>115.78999999999999</v>
      </c>
      <c r="AE271" s="150">
        <f t="shared" si="219"/>
        <v>970</v>
      </c>
      <c r="AF271" s="150">
        <f t="shared" si="220"/>
        <v>45757.19</v>
      </c>
      <c r="AG271" s="150">
        <f t="shared" si="259"/>
        <v>0</v>
      </c>
      <c r="AH271" s="150">
        <f t="shared" si="221"/>
        <v>0</v>
      </c>
      <c r="AI271" s="150">
        <f t="shared" si="222"/>
        <v>0</v>
      </c>
      <c r="AJ271" s="150">
        <f t="shared" si="223"/>
        <v>0</v>
      </c>
      <c r="AK271" s="150">
        <f t="shared" si="224"/>
        <v>0</v>
      </c>
      <c r="AL271" s="150">
        <f t="shared" si="260"/>
        <v>0</v>
      </c>
      <c r="AM271" s="150">
        <f t="shared" si="225"/>
        <v>0</v>
      </c>
      <c r="AN271" s="150">
        <f t="shared" si="226"/>
        <v>0</v>
      </c>
      <c r="AO271" s="150">
        <f t="shared" si="227"/>
        <v>0</v>
      </c>
      <c r="AP271" s="150">
        <f t="shared" si="228"/>
        <v>0</v>
      </c>
      <c r="AQ271" s="149">
        <f t="shared" si="261"/>
        <v>970</v>
      </c>
      <c r="AR271" s="149">
        <f t="shared" si="262"/>
        <v>233433.4900000004</v>
      </c>
      <c r="AS271" s="133"/>
      <c r="AT271" s="152">
        <f t="shared" si="263"/>
        <v>219</v>
      </c>
      <c r="AU271" s="151">
        <f t="shared" si="229"/>
        <v>52321</v>
      </c>
      <c r="AV271" s="150">
        <f t="shared" si="264"/>
        <v>0</v>
      </c>
      <c r="AW271" s="150">
        <f t="shared" si="230"/>
        <v>0</v>
      </c>
      <c r="AX271" s="150">
        <f t="shared" si="231"/>
        <v>0</v>
      </c>
      <c r="AY271" s="150">
        <f t="shared" si="232"/>
        <v>0</v>
      </c>
      <c r="AZ271" s="150">
        <f t="shared" si="233"/>
        <v>0</v>
      </c>
      <c r="BA271" s="150">
        <f t="shared" si="265"/>
        <v>0</v>
      </c>
      <c r="BB271" s="150">
        <f t="shared" si="234"/>
        <v>0</v>
      </c>
      <c r="BC271" s="150">
        <f t="shared" si="235"/>
        <v>0</v>
      </c>
      <c r="BD271" s="150">
        <f t="shared" si="236"/>
        <v>0</v>
      </c>
      <c r="BE271" s="150">
        <f t="shared" si="237"/>
        <v>0</v>
      </c>
      <c r="BF271" s="150">
        <f t="shared" si="266"/>
        <v>0</v>
      </c>
      <c r="BG271" s="150">
        <f t="shared" si="238"/>
        <v>0</v>
      </c>
      <c r="BH271" s="150">
        <f t="shared" si="239"/>
        <v>0</v>
      </c>
      <c r="BI271" s="150">
        <f t="shared" si="240"/>
        <v>0</v>
      </c>
      <c r="BJ271" s="150">
        <f t="shared" si="241"/>
        <v>0</v>
      </c>
      <c r="BK271" s="150">
        <f t="shared" si="267"/>
        <v>41273.08</v>
      </c>
      <c r="BL271" s="150">
        <f t="shared" si="242"/>
        <v>206.37</v>
      </c>
      <c r="BM271" s="150">
        <f t="shared" si="243"/>
        <v>143.63</v>
      </c>
      <c r="BN271" s="150">
        <f t="shared" si="244"/>
        <v>920</v>
      </c>
      <c r="BO271" s="150">
        <f t="shared" si="245"/>
        <v>40209.449999999997</v>
      </c>
      <c r="BP271" s="150">
        <f t="shared" si="268"/>
        <v>12000</v>
      </c>
      <c r="BQ271" s="150">
        <f t="shared" si="246"/>
        <v>50</v>
      </c>
      <c r="BR271" s="150">
        <f t="shared" si="247"/>
        <v>0</v>
      </c>
      <c r="BS271" s="150">
        <f t="shared" si="248"/>
        <v>0</v>
      </c>
      <c r="BT271" s="150">
        <f t="shared" si="249"/>
        <v>12000</v>
      </c>
      <c r="BU271" s="150">
        <f t="shared" si="269"/>
        <v>0</v>
      </c>
      <c r="BV271" s="150">
        <f t="shared" si="250"/>
        <v>0</v>
      </c>
      <c r="BW271" s="150">
        <f t="shared" si="251"/>
        <v>0</v>
      </c>
      <c r="BX271" s="150">
        <f t="shared" si="252"/>
        <v>0</v>
      </c>
      <c r="BY271" s="150">
        <f t="shared" si="253"/>
        <v>0</v>
      </c>
      <c r="BZ271" s="147">
        <f t="shared" si="270"/>
        <v>920</v>
      </c>
      <c r="CA271" s="147">
        <f t="shared" si="271"/>
        <v>221502.56000000011</v>
      </c>
    </row>
    <row r="272" spans="11:79">
      <c r="K272" s="132">
        <f t="shared" si="254"/>
        <v>220</v>
      </c>
      <c r="L272" s="148">
        <f t="shared" si="204"/>
        <v>52351</v>
      </c>
      <c r="M272" s="131">
        <f t="shared" si="255"/>
        <v>0</v>
      </c>
      <c r="N272" s="131">
        <f t="shared" si="205"/>
        <v>0</v>
      </c>
      <c r="O272" s="131">
        <f t="shared" si="206"/>
        <v>0</v>
      </c>
      <c r="P272" s="131">
        <f t="shared" si="207"/>
        <v>0</v>
      </c>
      <c r="Q272" s="131">
        <f t="shared" si="208"/>
        <v>0</v>
      </c>
      <c r="R272" s="131">
        <f t="shared" si="256"/>
        <v>0</v>
      </c>
      <c r="S272" s="131">
        <f t="shared" si="209"/>
        <v>0</v>
      </c>
      <c r="T272" s="131">
        <f t="shared" si="210"/>
        <v>0</v>
      </c>
      <c r="U272" s="131">
        <f t="shared" si="211"/>
        <v>0</v>
      </c>
      <c r="V272" s="131">
        <f t="shared" si="212"/>
        <v>0</v>
      </c>
      <c r="W272" s="131">
        <f t="shared" si="257"/>
        <v>0</v>
      </c>
      <c r="X272" s="131">
        <f t="shared" si="213"/>
        <v>0</v>
      </c>
      <c r="Y272" s="131">
        <f t="shared" si="214"/>
        <v>0</v>
      </c>
      <c r="Z272" s="131">
        <f t="shared" si="215"/>
        <v>0</v>
      </c>
      <c r="AA272" s="131">
        <f t="shared" si="216"/>
        <v>0</v>
      </c>
      <c r="AB272" s="131">
        <f t="shared" si="258"/>
        <v>45757.19</v>
      </c>
      <c r="AC272" s="131">
        <f t="shared" si="217"/>
        <v>228.79</v>
      </c>
      <c r="AD272" s="131">
        <f t="shared" si="218"/>
        <v>121.21000000000001</v>
      </c>
      <c r="AE272" s="131">
        <f t="shared" si="219"/>
        <v>970</v>
      </c>
      <c r="AF272" s="131">
        <f t="shared" si="220"/>
        <v>44665.98</v>
      </c>
      <c r="AG272" s="131">
        <f t="shared" si="259"/>
        <v>0</v>
      </c>
      <c r="AH272" s="131">
        <f t="shared" si="221"/>
        <v>0</v>
      </c>
      <c r="AI272" s="131">
        <f t="shared" si="222"/>
        <v>0</v>
      </c>
      <c r="AJ272" s="131">
        <f t="shared" si="223"/>
        <v>0</v>
      </c>
      <c r="AK272" s="131">
        <f t="shared" si="224"/>
        <v>0</v>
      </c>
      <c r="AL272" s="131">
        <f t="shared" si="260"/>
        <v>0</v>
      </c>
      <c r="AM272" s="131">
        <f t="shared" si="225"/>
        <v>0</v>
      </c>
      <c r="AN272" s="131">
        <f t="shared" si="226"/>
        <v>0</v>
      </c>
      <c r="AO272" s="131">
        <f t="shared" si="227"/>
        <v>0</v>
      </c>
      <c r="AP272" s="131">
        <f t="shared" si="228"/>
        <v>0</v>
      </c>
      <c r="AQ272" s="149">
        <f t="shared" si="261"/>
        <v>970</v>
      </c>
      <c r="AR272" s="149">
        <f t="shared" si="262"/>
        <v>233662.28000000041</v>
      </c>
      <c r="AS272" s="133"/>
      <c r="AT272" s="132">
        <f t="shared" si="263"/>
        <v>220</v>
      </c>
      <c r="AU272" s="148">
        <f t="shared" si="229"/>
        <v>52351</v>
      </c>
      <c r="AV272" s="131">
        <f t="shared" si="264"/>
        <v>0</v>
      </c>
      <c r="AW272" s="131">
        <f t="shared" si="230"/>
        <v>0</v>
      </c>
      <c r="AX272" s="131">
        <f t="shared" si="231"/>
        <v>0</v>
      </c>
      <c r="AY272" s="131">
        <f t="shared" si="232"/>
        <v>0</v>
      </c>
      <c r="AZ272" s="131">
        <f t="shared" si="233"/>
        <v>0</v>
      </c>
      <c r="BA272" s="131">
        <f t="shared" si="265"/>
        <v>0</v>
      </c>
      <c r="BB272" s="131">
        <f t="shared" si="234"/>
        <v>0</v>
      </c>
      <c r="BC272" s="131">
        <f t="shared" si="235"/>
        <v>0</v>
      </c>
      <c r="BD272" s="131">
        <f t="shared" si="236"/>
        <v>0</v>
      </c>
      <c r="BE272" s="131">
        <f t="shared" si="237"/>
        <v>0</v>
      </c>
      <c r="BF272" s="131">
        <f t="shared" si="266"/>
        <v>0</v>
      </c>
      <c r="BG272" s="131">
        <f t="shared" si="238"/>
        <v>0</v>
      </c>
      <c r="BH272" s="131">
        <f t="shared" si="239"/>
        <v>0</v>
      </c>
      <c r="BI272" s="131">
        <f t="shared" si="240"/>
        <v>0</v>
      </c>
      <c r="BJ272" s="131">
        <f t="shared" si="241"/>
        <v>0</v>
      </c>
      <c r="BK272" s="131">
        <f t="shared" si="267"/>
        <v>40209.449999999997</v>
      </c>
      <c r="BL272" s="131">
        <f t="shared" si="242"/>
        <v>201.05</v>
      </c>
      <c r="BM272" s="131">
        <f t="shared" si="243"/>
        <v>148.94999999999999</v>
      </c>
      <c r="BN272" s="131">
        <f t="shared" si="244"/>
        <v>920</v>
      </c>
      <c r="BO272" s="131">
        <f t="shared" si="245"/>
        <v>39140.5</v>
      </c>
      <c r="BP272" s="131">
        <f t="shared" si="268"/>
        <v>12000</v>
      </c>
      <c r="BQ272" s="131">
        <f t="shared" si="246"/>
        <v>50</v>
      </c>
      <c r="BR272" s="131">
        <f t="shared" si="247"/>
        <v>0</v>
      </c>
      <c r="BS272" s="131">
        <f t="shared" si="248"/>
        <v>0</v>
      </c>
      <c r="BT272" s="131">
        <f t="shared" si="249"/>
        <v>12000</v>
      </c>
      <c r="BU272" s="131">
        <f t="shared" si="269"/>
        <v>0</v>
      </c>
      <c r="BV272" s="131">
        <f t="shared" si="250"/>
        <v>0</v>
      </c>
      <c r="BW272" s="131">
        <f t="shared" si="251"/>
        <v>0</v>
      </c>
      <c r="BX272" s="131">
        <f t="shared" si="252"/>
        <v>0</v>
      </c>
      <c r="BY272" s="131">
        <f t="shared" si="253"/>
        <v>0</v>
      </c>
      <c r="BZ272" s="147">
        <f t="shared" si="270"/>
        <v>920</v>
      </c>
      <c r="CA272" s="147">
        <f t="shared" si="271"/>
        <v>221753.6100000001</v>
      </c>
    </row>
    <row r="273" spans="11:79">
      <c r="K273" s="152">
        <f t="shared" si="254"/>
        <v>221</v>
      </c>
      <c r="L273" s="151">
        <f t="shared" si="204"/>
        <v>52382</v>
      </c>
      <c r="M273" s="150">
        <f t="shared" si="255"/>
        <v>0</v>
      </c>
      <c r="N273" s="150">
        <f t="shared" si="205"/>
        <v>0</v>
      </c>
      <c r="O273" s="150">
        <f t="shared" si="206"/>
        <v>0</v>
      </c>
      <c r="P273" s="150">
        <f t="shared" si="207"/>
        <v>0</v>
      </c>
      <c r="Q273" s="150">
        <f t="shared" si="208"/>
        <v>0</v>
      </c>
      <c r="R273" s="150">
        <f t="shared" si="256"/>
        <v>0</v>
      </c>
      <c r="S273" s="150">
        <f t="shared" si="209"/>
        <v>0</v>
      </c>
      <c r="T273" s="150">
        <f t="shared" si="210"/>
        <v>0</v>
      </c>
      <c r="U273" s="150">
        <f t="shared" si="211"/>
        <v>0</v>
      </c>
      <c r="V273" s="150">
        <f t="shared" si="212"/>
        <v>0</v>
      </c>
      <c r="W273" s="150">
        <f t="shared" si="257"/>
        <v>0</v>
      </c>
      <c r="X273" s="150">
        <f t="shared" si="213"/>
        <v>0</v>
      </c>
      <c r="Y273" s="150">
        <f t="shared" si="214"/>
        <v>0</v>
      </c>
      <c r="Z273" s="150">
        <f t="shared" si="215"/>
        <v>0</v>
      </c>
      <c r="AA273" s="150">
        <f t="shared" si="216"/>
        <v>0</v>
      </c>
      <c r="AB273" s="150">
        <f t="shared" si="258"/>
        <v>44665.98</v>
      </c>
      <c r="AC273" s="150">
        <f t="shared" si="217"/>
        <v>223.33</v>
      </c>
      <c r="AD273" s="150">
        <f t="shared" si="218"/>
        <v>126.66999999999999</v>
      </c>
      <c r="AE273" s="150">
        <f t="shared" si="219"/>
        <v>970</v>
      </c>
      <c r="AF273" s="150">
        <f t="shared" si="220"/>
        <v>43569.31</v>
      </c>
      <c r="AG273" s="150">
        <f t="shared" si="259"/>
        <v>0</v>
      </c>
      <c r="AH273" s="150">
        <f t="shared" si="221"/>
        <v>0</v>
      </c>
      <c r="AI273" s="150">
        <f t="shared" si="222"/>
        <v>0</v>
      </c>
      <c r="AJ273" s="150">
        <f t="shared" si="223"/>
        <v>0</v>
      </c>
      <c r="AK273" s="150">
        <f t="shared" si="224"/>
        <v>0</v>
      </c>
      <c r="AL273" s="150">
        <f t="shared" si="260"/>
        <v>0</v>
      </c>
      <c r="AM273" s="150">
        <f t="shared" si="225"/>
        <v>0</v>
      </c>
      <c r="AN273" s="150">
        <f t="shared" si="226"/>
        <v>0</v>
      </c>
      <c r="AO273" s="150">
        <f t="shared" si="227"/>
        <v>0</v>
      </c>
      <c r="AP273" s="150">
        <f t="shared" si="228"/>
        <v>0</v>
      </c>
      <c r="AQ273" s="149">
        <f t="shared" si="261"/>
        <v>970</v>
      </c>
      <c r="AR273" s="149">
        <f t="shared" si="262"/>
        <v>233885.61000000039</v>
      </c>
      <c r="AS273" s="133"/>
      <c r="AT273" s="152">
        <f t="shared" si="263"/>
        <v>221</v>
      </c>
      <c r="AU273" s="151">
        <f t="shared" si="229"/>
        <v>52382</v>
      </c>
      <c r="AV273" s="150">
        <f t="shared" si="264"/>
        <v>0</v>
      </c>
      <c r="AW273" s="150">
        <f t="shared" si="230"/>
        <v>0</v>
      </c>
      <c r="AX273" s="150">
        <f t="shared" si="231"/>
        <v>0</v>
      </c>
      <c r="AY273" s="150">
        <f t="shared" si="232"/>
        <v>0</v>
      </c>
      <c r="AZ273" s="150">
        <f t="shared" si="233"/>
        <v>0</v>
      </c>
      <c r="BA273" s="150">
        <f t="shared" si="265"/>
        <v>0</v>
      </c>
      <c r="BB273" s="150">
        <f t="shared" si="234"/>
        <v>0</v>
      </c>
      <c r="BC273" s="150">
        <f t="shared" si="235"/>
        <v>0</v>
      </c>
      <c r="BD273" s="150">
        <f t="shared" si="236"/>
        <v>0</v>
      </c>
      <c r="BE273" s="150">
        <f t="shared" si="237"/>
        <v>0</v>
      </c>
      <c r="BF273" s="150">
        <f t="shared" si="266"/>
        <v>0</v>
      </c>
      <c r="BG273" s="150">
        <f t="shared" si="238"/>
        <v>0</v>
      </c>
      <c r="BH273" s="150">
        <f t="shared" si="239"/>
        <v>0</v>
      </c>
      <c r="BI273" s="150">
        <f t="shared" si="240"/>
        <v>0</v>
      </c>
      <c r="BJ273" s="150">
        <f t="shared" si="241"/>
        <v>0</v>
      </c>
      <c r="BK273" s="150">
        <f t="shared" si="267"/>
        <v>39140.5</v>
      </c>
      <c r="BL273" s="150">
        <f t="shared" si="242"/>
        <v>195.7</v>
      </c>
      <c r="BM273" s="150">
        <f t="shared" si="243"/>
        <v>154.30000000000001</v>
      </c>
      <c r="BN273" s="150">
        <f t="shared" si="244"/>
        <v>920</v>
      </c>
      <c r="BO273" s="150">
        <f t="shared" si="245"/>
        <v>38066.199999999997</v>
      </c>
      <c r="BP273" s="150">
        <f t="shared" si="268"/>
        <v>12000</v>
      </c>
      <c r="BQ273" s="150">
        <f t="shared" si="246"/>
        <v>50</v>
      </c>
      <c r="BR273" s="150">
        <f t="shared" si="247"/>
        <v>0</v>
      </c>
      <c r="BS273" s="150">
        <f t="shared" si="248"/>
        <v>0</v>
      </c>
      <c r="BT273" s="150">
        <f t="shared" si="249"/>
        <v>12000</v>
      </c>
      <c r="BU273" s="150">
        <f t="shared" si="269"/>
        <v>0</v>
      </c>
      <c r="BV273" s="150">
        <f t="shared" si="250"/>
        <v>0</v>
      </c>
      <c r="BW273" s="150">
        <f t="shared" si="251"/>
        <v>0</v>
      </c>
      <c r="BX273" s="150">
        <f t="shared" si="252"/>
        <v>0</v>
      </c>
      <c r="BY273" s="150">
        <f t="shared" si="253"/>
        <v>0</v>
      </c>
      <c r="BZ273" s="147">
        <f t="shared" si="270"/>
        <v>920</v>
      </c>
      <c r="CA273" s="147">
        <f t="shared" si="271"/>
        <v>221999.31000000011</v>
      </c>
    </row>
    <row r="274" spans="11:79">
      <c r="K274" s="132">
        <f t="shared" si="254"/>
        <v>222</v>
      </c>
      <c r="L274" s="148">
        <f t="shared" si="204"/>
        <v>52412</v>
      </c>
      <c r="M274" s="131">
        <f t="shared" si="255"/>
        <v>0</v>
      </c>
      <c r="N274" s="131">
        <f t="shared" si="205"/>
        <v>0</v>
      </c>
      <c r="O274" s="131">
        <f t="shared" si="206"/>
        <v>0</v>
      </c>
      <c r="P274" s="131">
        <f t="shared" si="207"/>
        <v>0</v>
      </c>
      <c r="Q274" s="131">
        <f t="shared" si="208"/>
        <v>0</v>
      </c>
      <c r="R274" s="131">
        <f t="shared" si="256"/>
        <v>0</v>
      </c>
      <c r="S274" s="131">
        <f t="shared" si="209"/>
        <v>0</v>
      </c>
      <c r="T274" s="131">
        <f t="shared" si="210"/>
        <v>0</v>
      </c>
      <c r="U274" s="131">
        <f t="shared" si="211"/>
        <v>0</v>
      </c>
      <c r="V274" s="131">
        <f t="shared" si="212"/>
        <v>0</v>
      </c>
      <c r="W274" s="131">
        <f t="shared" si="257"/>
        <v>0</v>
      </c>
      <c r="X274" s="131">
        <f t="shared" si="213"/>
        <v>0</v>
      </c>
      <c r="Y274" s="131">
        <f t="shared" si="214"/>
        <v>0</v>
      </c>
      <c r="Z274" s="131">
        <f t="shared" si="215"/>
        <v>0</v>
      </c>
      <c r="AA274" s="131">
        <f t="shared" si="216"/>
        <v>0</v>
      </c>
      <c r="AB274" s="131">
        <f t="shared" si="258"/>
        <v>43569.31</v>
      </c>
      <c r="AC274" s="131">
        <f t="shared" si="217"/>
        <v>217.85</v>
      </c>
      <c r="AD274" s="131">
        <f t="shared" si="218"/>
        <v>132.15</v>
      </c>
      <c r="AE274" s="131">
        <f t="shared" si="219"/>
        <v>970</v>
      </c>
      <c r="AF274" s="131">
        <f t="shared" si="220"/>
        <v>42467.16</v>
      </c>
      <c r="AG274" s="131">
        <f t="shared" si="259"/>
        <v>0</v>
      </c>
      <c r="AH274" s="131">
        <f t="shared" si="221"/>
        <v>0</v>
      </c>
      <c r="AI274" s="131">
        <f t="shared" si="222"/>
        <v>0</v>
      </c>
      <c r="AJ274" s="131">
        <f t="shared" si="223"/>
        <v>0</v>
      </c>
      <c r="AK274" s="131">
        <f t="shared" si="224"/>
        <v>0</v>
      </c>
      <c r="AL274" s="131">
        <f t="shared" si="260"/>
        <v>0</v>
      </c>
      <c r="AM274" s="131">
        <f t="shared" si="225"/>
        <v>0</v>
      </c>
      <c r="AN274" s="131">
        <f t="shared" si="226"/>
        <v>0</v>
      </c>
      <c r="AO274" s="131">
        <f t="shared" si="227"/>
        <v>0</v>
      </c>
      <c r="AP274" s="131">
        <f t="shared" si="228"/>
        <v>0</v>
      </c>
      <c r="AQ274" s="149">
        <f t="shared" si="261"/>
        <v>970</v>
      </c>
      <c r="AR274" s="149">
        <f t="shared" si="262"/>
        <v>234103.4600000004</v>
      </c>
      <c r="AS274" s="133"/>
      <c r="AT274" s="132">
        <f t="shared" si="263"/>
        <v>222</v>
      </c>
      <c r="AU274" s="148">
        <f t="shared" si="229"/>
        <v>52412</v>
      </c>
      <c r="AV274" s="131">
        <f t="shared" si="264"/>
        <v>0</v>
      </c>
      <c r="AW274" s="131">
        <f t="shared" si="230"/>
        <v>0</v>
      </c>
      <c r="AX274" s="131">
        <f t="shared" si="231"/>
        <v>0</v>
      </c>
      <c r="AY274" s="131">
        <f t="shared" si="232"/>
        <v>0</v>
      </c>
      <c r="AZ274" s="131">
        <f t="shared" si="233"/>
        <v>0</v>
      </c>
      <c r="BA274" s="131">
        <f t="shared" si="265"/>
        <v>0</v>
      </c>
      <c r="BB274" s="131">
        <f t="shared" si="234"/>
        <v>0</v>
      </c>
      <c r="BC274" s="131">
        <f t="shared" si="235"/>
        <v>0</v>
      </c>
      <c r="BD274" s="131">
        <f t="shared" si="236"/>
        <v>0</v>
      </c>
      <c r="BE274" s="131">
        <f t="shared" si="237"/>
        <v>0</v>
      </c>
      <c r="BF274" s="131">
        <f t="shared" si="266"/>
        <v>0</v>
      </c>
      <c r="BG274" s="131">
        <f t="shared" si="238"/>
        <v>0</v>
      </c>
      <c r="BH274" s="131">
        <f t="shared" si="239"/>
        <v>0</v>
      </c>
      <c r="BI274" s="131">
        <f t="shared" si="240"/>
        <v>0</v>
      </c>
      <c r="BJ274" s="131">
        <f t="shared" si="241"/>
        <v>0</v>
      </c>
      <c r="BK274" s="131">
        <f t="shared" si="267"/>
        <v>38066.199999999997</v>
      </c>
      <c r="BL274" s="131">
        <f t="shared" si="242"/>
        <v>190.33</v>
      </c>
      <c r="BM274" s="131">
        <f t="shared" si="243"/>
        <v>159.66999999999999</v>
      </c>
      <c r="BN274" s="131">
        <f t="shared" si="244"/>
        <v>920</v>
      </c>
      <c r="BO274" s="131">
        <f t="shared" si="245"/>
        <v>36986.53</v>
      </c>
      <c r="BP274" s="131">
        <f t="shared" si="268"/>
        <v>12000</v>
      </c>
      <c r="BQ274" s="131">
        <f t="shared" si="246"/>
        <v>50</v>
      </c>
      <c r="BR274" s="131">
        <f t="shared" si="247"/>
        <v>0</v>
      </c>
      <c r="BS274" s="131">
        <f t="shared" si="248"/>
        <v>0</v>
      </c>
      <c r="BT274" s="131">
        <f t="shared" si="249"/>
        <v>12000</v>
      </c>
      <c r="BU274" s="131">
        <f t="shared" si="269"/>
        <v>0</v>
      </c>
      <c r="BV274" s="131">
        <f t="shared" si="250"/>
        <v>0</v>
      </c>
      <c r="BW274" s="131">
        <f t="shared" si="251"/>
        <v>0</v>
      </c>
      <c r="BX274" s="131">
        <f t="shared" si="252"/>
        <v>0</v>
      </c>
      <c r="BY274" s="131">
        <f t="shared" si="253"/>
        <v>0</v>
      </c>
      <c r="BZ274" s="147">
        <f t="shared" si="270"/>
        <v>920</v>
      </c>
      <c r="CA274" s="147">
        <f t="shared" si="271"/>
        <v>222239.6400000001</v>
      </c>
    </row>
    <row r="275" spans="11:79">
      <c r="K275" s="152">
        <f t="shared" si="254"/>
        <v>223</v>
      </c>
      <c r="L275" s="151">
        <f t="shared" si="204"/>
        <v>52443</v>
      </c>
      <c r="M275" s="150">
        <f t="shared" si="255"/>
        <v>0</v>
      </c>
      <c r="N275" s="150">
        <f t="shared" si="205"/>
        <v>0</v>
      </c>
      <c r="O275" s="150">
        <f t="shared" si="206"/>
        <v>0</v>
      </c>
      <c r="P275" s="150">
        <f t="shared" si="207"/>
        <v>0</v>
      </c>
      <c r="Q275" s="150">
        <f t="shared" si="208"/>
        <v>0</v>
      </c>
      <c r="R275" s="150">
        <f t="shared" si="256"/>
        <v>0</v>
      </c>
      <c r="S275" s="150">
        <f t="shared" si="209"/>
        <v>0</v>
      </c>
      <c r="T275" s="150">
        <f t="shared" si="210"/>
        <v>0</v>
      </c>
      <c r="U275" s="150">
        <f t="shared" si="211"/>
        <v>0</v>
      </c>
      <c r="V275" s="150">
        <f t="shared" si="212"/>
        <v>0</v>
      </c>
      <c r="W275" s="150">
        <f t="shared" si="257"/>
        <v>0</v>
      </c>
      <c r="X275" s="150">
        <f t="shared" si="213"/>
        <v>0</v>
      </c>
      <c r="Y275" s="150">
        <f t="shared" si="214"/>
        <v>0</v>
      </c>
      <c r="Z275" s="150">
        <f t="shared" si="215"/>
        <v>0</v>
      </c>
      <c r="AA275" s="150">
        <f t="shared" si="216"/>
        <v>0</v>
      </c>
      <c r="AB275" s="150">
        <f t="shared" si="258"/>
        <v>42467.16</v>
      </c>
      <c r="AC275" s="150">
        <f t="shared" si="217"/>
        <v>212.34</v>
      </c>
      <c r="AD275" s="150">
        <f t="shared" si="218"/>
        <v>137.66</v>
      </c>
      <c r="AE275" s="150">
        <f t="shared" si="219"/>
        <v>970</v>
      </c>
      <c r="AF275" s="150">
        <f t="shared" si="220"/>
        <v>41359.5</v>
      </c>
      <c r="AG275" s="150">
        <f t="shared" si="259"/>
        <v>0</v>
      </c>
      <c r="AH275" s="150">
        <f t="shared" si="221"/>
        <v>0</v>
      </c>
      <c r="AI275" s="150">
        <f t="shared" si="222"/>
        <v>0</v>
      </c>
      <c r="AJ275" s="150">
        <f t="shared" si="223"/>
        <v>0</v>
      </c>
      <c r="AK275" s="150">
        <f t="shared" si="224"/>
        <v>0</v>
      </c>
      <c r="AL275" s="150">
        <f t="shared" si="260"/>
        <v>0</v>
      </c>
      <c r="AM275" s="150">
        <f t="shared" si="225"/>
        <v>0</v>
      </c>
      <c r="AN275" s="150">
        <f t="shared" si="226"/>
        <v>0</v>
      </c>
      <c r="AO275" s="150">
        <f t="shared" si="227"/>
        <v>0</v>
      </c>
      <c r="AP275" s="150">
        <f t="shared" si="228"/>
        <v>0</v>
      </c>
      <c r="AQ275" s="149">
        <f t="shared" si="261"/>
        <v>970</v>
      </c>
      <c r="AR275" s="149">
        <f t="shared" si="262"/>
        <v>234315.8000000004</v>
      </c>
      <c r="AS275" s="133"/>
      <c r="AT275" s="152">
        <f t="shared" si="263"/>
        <v>223</v>
      </c>
      <c r="AU275" s="151">
        <f t="shared" si="229"/>
        <v>52443</v>
      </c>
      <c r="AV275" s="150">
        <f t="shared" si="264"/>
        <v>0</v>
      </c>
      <c r="AW275" s="150">
        <f t="shared" si="230"/>
        <v>0</v>
      </c>
      <c r="AX275" s="150">
        <f t="shared" si="231"/>
        <v>0</v>
      </c>
      <c r="AY275" s="150">
        <f t="shared" si="232"/>
        <v>0</v>
      </c>
      <c r="AZ275" s="150">
        <f t="shared" si="233"/>
        <v>0</v>
      </c>
      <c r="BA275" s="150">
        <f t="shared" si="265"/>
        <v>0</v>
      </c>
      <c r="BB275" s="150">
        <f t="shared" si="234"/>
        <v>0</v>
      </c>
      <c r="BC275" s="150">
        <f t="shared" si="235"/>
        <v>0</v>
      </c>
      <c r="BD275" s="150">
        <f t="shared" si="236"/>
        <v>0</v>
      </c>
      <c r="BE275" s="150">
        <f t="shared" si="237"/>
        <v>0</v>
      </c>
      <c r="BF275" s="150">
        <f t="shared" si="266"/>
        <v>0</v>
      </c>
      <c r="BG275" s="150">
        <f t="shared" si="238"/>
        <v>0</v>
      </c>
      <c r="BH275" s="150">
        <f t="shared" si="239"/>
        <v>0</v>
      </c>
      <c r="BI275" s="150">
        <f t="shared" si="240"/>
        <v>0</v>
      </c>
      <c r="BJ275" s="150">
        <f t="shared" si="241"/>
        <v>0</v>
      </c>
      <c r="BK275" s="150">
        <f t="shared" si="267"/>
        <v>36986.53</v>
      </c>
      <c r="BL275" s="150">
        <f t="shared" si="242"/>
        <v>184.93</v>
      </c>
      <c r="BM275" s="150">
        <f t="shared" si="243"/>
        <v>165.07</v>
      </c>
      <c r="BN275" s="150">
        <f t="shared" si="244"/>
        <v>920</v>
      </c>
      <c r="BO275" s="150">
        <f t="shared" si="245"/>
        <v>35901.46</v>
      </c>
      <c r="BP275" s="150">
        <f t="shared" si="268"/>
        <v>12000</v>
      </c>
      <c r="BQ275" s="150">
        <f t="shared" si="246"/>
        <v>50</v>
      </c>
      <c r="BR275" s="150">
        <f t="shared" si="247"/>
        <v>0</v>
      </c>
      <c r="BS275" s="150">
        <f t="shared" si="248"/>
        <v>0</v>
      </c>
      <c r="BT275" s="150">
        <f t="shared" si="249"/>
        <v>12000</v>
      </c>
      <c r="BU275" s="150">
        <f t="shared" si="269"/>
        <v>0</v>
      </c>
      <c r="BV275" s="150">
        <f t="shared" si="250"/>
        <v>0</v>
      </c>
      <c r="BW275" s="150">
        <f t="shared" si="251"/>
        <v>0</v>
      </c>
      <c r="BX275" s="150">
        <f t="shared" si="252"/>
        <v>0</v>
      </c>
      <c r="BY275" s="150">
        <f t="shared" si="253"/>
        <v>0</v>
      </c>
      <c r="BZ275" s="147">
        <f t="shared" si="270"/>
        <v>920</v>
      </c>
      <c r="CA275" s="147">
        <f t="shared" si="271"/>
        <v>222474.57000000009</v>
      </c>
    </row>
    <row r="276" spans="11:79">
      <c r="K276" s="132">
        <f t="shared" si="254"/>
        <v>224</v>
      </c>
      <c r="L276" s="148">
        <f t="shared" si="204"/>
        <v>52474</v>
      </c>
      <c r="M276" s="131">
        <f t="shared" si="255"/>
        <v>0</v>
      </c>
      <c r="N276" s="131">
        <f t="shared" si="205"/>
        <v>0</v>
      </c>
      <c r="O276" s="131">
        <f t="shared" si="206"/>
        <v>0</v>
      </c>
      <c r="P276" s="131">
        <f t="shared" si="207"/>
        <v>0</v>
      </c>
      <c r="Q276" s="131">
        <f t="shared" si="208"/>
        <v>0</v>
      </c>
      <c r="R276" s="131">
        <f t="shared" si="256"/>
        <v>0</v>
      </c>
      <c r="S276" s="131">
        <f t="shared" si="209"/>
        <v>0</v>
      </c>
      <c r="T276" s="131">
        <f t="shared" si="210"/>
        <v>0</v>
      </c>
      <c r="U276" s="131">
        <f t="shared" si="211"/>
        <v>0</v>
      </c>
      <c r="V276" s="131">
        <f t="shared" si="212"/>
        <v>0</v>
      </c>
      <c r="W276" s="131">
        <f t="shared" si="257"/>
        <v>0</v>
      </c>
      <c r="X276" s="131">
        <f t="shared" si="213"/>
        <v>0</v>
      </c>
      <c r="Y276" s="131">
        <f t="shared" si="214"/>
        <v>0</v>
      </c>
      <c r="Z276" s="131">
        <f t="shared" si="215"/>
        <v>0</v>
      </c>
      <c r="AA276" s="131">
        <f t="shared" si="216"/>
        <v>0</v>
      </c>
      <c r="AB276" s="131">
        <f t="shared" si="258"/>
        <v>41359.5</v>
      </c>
      <c r="AC276" s="131">
        <f t="shared" si="217"/>
        <v>206.8</v>
      </c>
      <c r="AD276" s="131">
        <f t="shared" si="218"/>
        <v>143.19999999999999</v>
      </c>
      <c r="AE276" s="131">
        <f t="shared" si="219"/>
        <v>970</v>
      </c>
      <c r="AF276" s="131">
        <f t="shared" si="220"/>
        <v>40246.300000000003</v>
      </c>
      <c r="AG276" s="131">
        <f t="shared" si="259"/>
        <v>0</v>
      </c>
      <c r="AH276" s="131">
        <f t="shared" si="221"/>
        <v>0</v>
      </c>
      <c r="AI276" s="131">
        <f t="shared" si="222"/>
        <v>0</v>
      </c>
      <c r="AJ276" s="131">
        <f t="shared" si="223"/>
        <v>0</v>
      </c>
      <c r="AK276" s="131">
        <f t="shared" si="224"/>
        <v>0</v>
      </c>
      <c r="AL276" s="131">
        <f t="shared" si="260"/>
        <v>0</v>
      </c>
      <c r="AM276" s="131">
        <f t="shared" si="225"/>
        <v>0</v>
      </c>
      <c r="AN276" s="131">
        <f t="shared" si="226"/>
        <v>0</v>
      </c>
      <c r="AO276" s="131">
        <f t="shared" si="227"/>
        <v>0</v>
      </c>
      <c r="AP276" s="131">
        <f t="shared" si="228"/>
        <v>0</v>
      </c>
      <c r="AQ276" s="149">
        <f t="shared" si="261"/>
        <v>970</v>
      </c>
      <c r="AR276" s="149">
        <f t="shared" si="262"/>
        <v>234522.60000000038</v>
      </c>
      <c r="AS276" s="133"/>
      <c r="AT276" s="132">
        <f t="shared" si="263"/>
        <v>224</v>
      </c>
      <c r="AU276" s="148">
        <f t="shared" si="229"/>
        <v>52474</v>
      </c>
      <c r="AV276" s="131">
        <f t="shared" si="264"/>
        <v>0</v>
      </c>
      <c r="AW276" s="131">
        <f t="shared" si="230"/>
        <v>0</v>
      </c>
      <c r="AX276" s="131">
        <f t="shared" si="231"/>
        <v>0</v>
      </c>
      <c r="AY276" s="131">
        <f t="shared" si="232"/>
        <v>0</v>
      </c>
      <c r="AZ276" s="131">
        <f t="shared" si="233"/>
        <v>0</v>
      </c>
      <c r="BA276" s="131">
        <f t="shared" si="265"/>
        <v>0</v>
      </c>
      <c r="BB276" s="131">
        <f t="shared" si="234"/>
        <v>0</v>
      </c>
      <c r="BC276" s="131">
        <f t="shared" si="235"/>
        <v>0</v>
      </c>
      <c r="BD276" s="131">
        <f t="shared" si="236"/>
        <v>0</v>
      </c>
      <c r="BE276" s="131">
        <f t="shared" si="237"/>
        <v>0</v>
      </c>
      <c r="BF276" s="131">
        <f t="shared" si="266"/>
        <v>0</v>
      </c>
      <c r="BG276" s="131">
        <f t="shared" si="238"/>
        <v>0</v>
      </c>
      <c r="BH276" s="131">
        <f t="shared" si="239"/>
        <v>0</v>
      </c>
      <c r="BI276" s="131">
        <f t="shared" si="240"/>
        <v>0</v>
      </c>
      <c r="BJ276" s="131">
        <f t="shared" si="241"/>
        <v>0</v>
      </c>
      <c r="BK276" s="131">
        <f t="shared" si="267"/>
        <v>35901.46</v>
      </c>
      <c r="BL276" s="131">
        <f t="shared" si="242"/>
        <v>179.51</v>
      </c>
      <c r="BM276" s="131">
        <f t="shared" si="243"/>
        <v>170.49</v>
      </c>
      <c r="BN276" s="131">
        <f t="shared" si="244"/>
        <v>920</v>
      </c>
      <c r="BO276" s="131">
        <f t="shared" si="245"/>
        <v>34810.97</v>
      </c>
      <c r="BP276" s="131">
        <f t="shared" si="268"/>
        <v>12000</v>
      </c>
      <c r="BQ276" s="131">
        <f t="shared" si="246"/>
        <v>50</v>
      </c>
      <c r="BR276" s="131">
        <f t="shared" si="247"/>
        <v>0</v>
      </c>
      <c r="BS276" s="131">
        <f t="shared" si="248"/>
        <v>0</v>
      </c>
      <c r="BT276" s="131">
        <f t="shared" si="249"/>
        <v>12000</v>
      </c>
      <c r="BU276" s="131">
        <f t="shared" si="269"/>
        <v>0</v>
      </c>
      <c r="BV276" s="131">
        <f t="shared" si="250"/>
        <v>0</v>
      </c>
      <c r="BW276" s="131">
        <f t="shared" si="251"/>
        <v>0</v>
      </c>
      <c r="BX276" s="131">
        <f t="shared" si="252"/>
        <v>0</v>
      </c>
      <c r="BY276" s="131">
        <f t="shared" si="253"/>
        <v>0</v>
      </c>
      <c r="BZ276" s="147">
        <f t="shared" si="270"/>
        <v>920</v>
      </c>
      <c r="CA276" s="147">
        <f t="shared" si="271"/>
        <v>222704.0800000001</v>
      </c>
    </row>
    <row r="277" spans="11:79">
      <c r="K277" s="152">
        <f t="shared" si="254"/>
        <v>225</v>
      </c>
      <c r="L277" s="151">
        <f t="shared" si="204"/>
        <v>52504</v>
      </c>
      <c r="M277" s="150">
        <f t="shared" si="255"/>
        <v>0</v>
      </c>
      <c r="N277" s="150">
        <f t="shared" si="205"/>
        <v>0</v>
      </c>
      <c r="O277" s="150">
        <f t="shared" si="206"/>
        <v>0</v>
      </c>
      <c r="P277" s="150">
        <f t="shared" si="207"/>
        <v>0</v>
      </c>
      <c r="Q277" s="150">
        <f t="shared" si="208"/>
        <v>0</v>
      </c>
      <c r="R277" s="150">
        <f t="shared" si="256"/>
        <v>0</v>
      </c>
      <c r="S277" s="150">
        <f t="shared" si="209"/>
        <v>0</v>
      </c>
      <c r="T277" s="150">
        <f t="shared" si="210"/>
        <v>0</v>
      </c>
      <c r="U277" s="150">
        <f t="shared" si="211"/>
        <v>0</v>
      </c>
      <c r="V277" s="150">
        <f t="shared" si="212"/>
        <v>0</v>
      </c>
      <c r="W277" s="150">
        <f t="shared" si="257"/>
        <v>0</v>
      </c>
      <c r="X277" s="150">
        <f t="shared" si="213"/>
        <v>0</v>
      </c>
      <c r="Y277" s="150">
        <f t="shared" si="214"/>
        <v>0</v>
      </c>
      <c r="Z277" s="150">
        <f t="shared" si="215"/>
        <v>0</v>
      </c>
      <c r="AA277" s="150">
        <f t="shared" si="216"/>
        <v>0</v>
      </c>
      <c r="AB277" s="150">
        <f t="shared" si="258"/>
        <v>40246.300000000003</v>
      </c>
      <c r="AC277" s="150">
        <f t="shared" si="217"/>
        <v>201.23</v>
      </c>
      <c r="AD277" s="150">
        <f t="shared" si="218"/>
        <v>148.77000000000001</v>
      </c>
      <c r="AE277" s="150">
        <f t="shared" si="219"/>
        <v>970</v>
      </c>
      <c r="AF277" s="150">
        <f t="shared" si="220"/>
        <v>39127.53</v>
      </c>
      <c r="AG277" s="150">
        <f t="shared" si="259"/>
        <v>0</v>
      </c>
      <c r="AH277" s="150">
        <f t="shared" si="221"/>
        <v>0</v>
      </c>
      <c r="AI277" s="150">
        <f t="shared" si="222"/>
        <v>0</v>
      </c>
      <c r="AJ277" s="150">
        <f t="shared" si="223"/>
        <v>0</v>
      </c>
      <c r="AK277" s="150">
        <f t="shared" si="224"/>
        <v>0</v>
      </c>
      <c r="AL277" s="150">
        <f t="shared" si="260"/>
        <v>0</v>
      </c>
      <c r="AM277" s="150">
        <f t="shared" si="225"/>
        <v>0</v>
      </c>
      <c r="AN277" s="150">
        <f t="shared" si="226"/>
        <v>0</v>
      </c>
      <c r="AO277" s="150">
        <f t="shared" si="227"/>
        <v>0</v>
      </c>
      <c r="AP277" s="150">
        <f t="shared" si="228"/>
        <v>0</v>
      </c>
      <c r="AQ277" s="149">
        <f t="shared" si="261"/>
        <v>970</v>
      </c>
      <c r="AR277" s="149">
        <f t="shared" si="262"/>
        <v>234723.83000000039</v>
      </c>
      <c r="AS277" s="133"/>
      <c r="AT277" s="152">
        <f t="shared" si="263"/>
        <v>225</v>
      </c>
      <c r="AU277" s="151">
        <f t="shared" si="229"/>
        <v>52504</v>
      </c>
      <c r="AV277" s="150">
        <f t="shared" si="264"/>
        <v>0</v>
      </c>
      <c r="AW277" s="150">
        <f t="shared" si="230"/>
        <v>0</v>
      </c>
      <c r="AX277" s="150">
        <f t="shared" si="231"/>
        <v>0</v>
      </c>
      <c r="AY277" s="150">
        <f t="shared" si="232"/>
        <v>0</v>
      </c>
      <c r="AZ277" s="150">
        <f t="shared" si="233"/>
        <v>0</v>
      </c>
      <c r="BA277" s="150">
        <f t="shared" si="265"/>
        <v>0</v>
      </c>
      <c r="BB277" s="150">
        <f t="shared" si="234"/>
        <v>0</v>
      </c>
      <c r="BC277" s="150">
        <f t="shared" si="235"/>
        <v>0</v>
      </c>
      <c r="BD277" s="150">
        <f t="shared" si="236"/>
        <v>0</v>
      </c>
      <c r="BE277" s="150">
        <f t="shared" si="237"/>
        <v>0</v>
      </c>
      <c r="BF277" s="150">
        <f t="shared" si="266"/>
        <v>0</v>
      </c>
      <c r="BG277" s="150">
        <f t="shared" si="238"/>
        <v>0</v>
      </c>
      <c r="BH277" s="150">
        <f t="shared" si="239"/>
        <v>0</v>
      </c>
      <c r="BI277" s="150">
        <f t="shared" si="240"/>
        <v>0</v>
      </c>
      <c r="BJ277" s="150">
        <f t="shared" si="241"/>
        <v>0</v>
      </c>
      <c r="BK277" s="150">
        <f t="shared" si="267"/>
        <v>34810.97</v>
      </c>
      <c r="BL277" s="150">
        <f t="shared" si="242"/>
        <v>174.05</v>
      </c>
      <c r="BM277" s="150">
        <f t="shared" si="243"/>
        <v>175.95</v>
      </c>
      <c r="BN277" s="150">
        <f t="shared" si="244"/>
        <v>920</v>
      </c>
      <c r="BO277" s="150">
        <f t="shared" si="245"/>
        <v>33715.019999999997</v>
      </c>
      <c r="BP277" s="150">
        <f t="shared" si="268"/>
        <v>12000</v>
      </c>
      <c r="BQ277" s="150">
        <f t="shared" si="246"/>
        <v>50</v>
      </c>
      <c r="BR277" s="150">
        <f t="shared" si="247"/>
        <v>0</v>
      </c>
      <c r="BS277" s="150">
        <f t="shared" si="248"/>
        <v>0</v>
      </c>
      <c r="BT277" s="150">
        <f t="shared" si="249"/>
        <v>12000</v>
      </c>
      <c r="BU277" s="150">
        <f t="shared" si="269"/>
        <v>0</v>
      </c>
      <c r="BV277" s="150">
        <f t="shared" si="250"/>
        <v>0</v>
      </c>
      <c r="BW277" s="150">
        <f t="shared" si="251"/>
        <v>0</v>
      </c>
      <c r="BX277" s="150">
        <f t="shared" si="252"/>
        <v>0</v>
      </c>
      <c r="BY277" s="150">
        <f t="shared" si="253"/>
        <v>0</v>
      </c>
      <c r="BZ277" s="147">
        <f t="shared" si="270"/>
        <v>920</v>
      </c>
      <c r="CA277" s="147">
        <f t="shared" si="271"/>
        <v>222928.13000000009</v>
      </c>
    </row>
    <row r="278" spans="11:79">
      <c r="K278" s="132">
        <f t="shared" si="254"/>
        <v>226</v>
      </c>
      <c r="L278" s="148">
        <f t="shared" si="204"/>
        <v>52535</v>
      </c>
      <c r="M278" s="131">
        <f t="shared" si="255"/>
        <v>0</v>
      </c>
      <c r="N278" s="131">
        <f t="shared" si="205"/>
        <v>0</v>
      </c>
      <c r="O278" s="131">
        <f t="shared" si="206"/>
        <v>0</v>
      </c>
      <c r="P278" s="131">
        <f t="shared" si="207"/>
        <v>0</v>
      </c>
      <c r="Q278" s="131">
        <f t="shared" si="208"/>
        <v>0</v>
      </c>
      <c r="R278" s="131">
        <f t="shared" si="256"/>
        <v>0</v>
      </c>
      <c r="S278" s="131">
        <f t="shared" si="209"/>
        <v>0</v>
      </c>
      <c r="T278" s="131">
        <f t="shared" si="210"/>
        <v>0</v>
      </c>
      <c r="U278" s="131">
        <f t="shared" si="211"/>
        <v>0</v>
      </c>
      <c r="V278" s="131">
        <f t="shared" si="212"/>
        <v>0</v>
      </c>
      <c r="W278" s="131">
        <f t="shared" si="257"/>
        <v>0</v>
      </c>
      <c r="X278" s="131">
        <f t="shared" si="213"/>
        <v>0</v>
      </c>
      <c r="Y278" s="131">
        <f t="shared" si="214"/>
        <v>0</v>
      </c>
      <c r="Z278" s="131">
        <f t="shared" si="215"/>
        <v>0</v>
      </c>
      <c r="AA278" s="131">
        <f t="shared" si="216"/>
        <v>0</v>
      </c>
      <c r="AB278" s="131">
        <f t="shared" si="258"/>
        <v>39127.53</v>
      </c>
      <c r="AC278" s="131">
        <f t="shared" si="217"/>
        <v>195.64</v>
      </c>
      <c r="AD278" s="131">
        <f t="shared" si="218"/>
        <v>154.36000000000001</v>
      </c>
      <c r="AE278" s="131">
        <f t="shared" si="219"/>
        <v>970</v>
      </c>
      <c r="AF278" s="131">
        <f t="shared" si="220"/>
        <v>38003.17</v>
      </c>
      <c r="AG278" s="131">
        <f t="shared" si="259"/>
        <v>0</v>
      </c>
      <c r="AH278" s="131">
        <f t="shared" si="221"/>
        <v>0</v>
      </c>
      <c r="AI278" s="131">
        <f t="shared" si="222"/>
        <v>0</v>
      </c>
      <c r="AJ278" s="131">
        <f t="shared" si="223"/>
        <v>0</v>
      </c>
      <c r="AK278" s="131">
        <f t="shared" si="224"/>
        <v>0</v>
      </c>
      <c r="AL278" s="131">
        <f t="shared" si="260"/>
        <v>0</v>
      </c>
      <c r="AM278" s="131">
        <f t="shared" si="225"/>
        <v>0</v>
      </c>
      <c r="AN278" s="131">
        <f t="shared" si="226"/>
        <v>0</v>
      </c>
      <c r="AO278" s="131">
        <f t="shared" si="227"/>
        <v>0</v>
      </c>
      <c r="AP278" s="131">
        <f t="shared" si="228"/>
        <v>0</v>
      </c>
      <c r="AQ278" s="149">
        <f t="shared" si="261"/>
        <v>970</v>
      </c>
      <c r="AR278" s="149">
        <f t="shared" si="262"/>
        <v>234919.47000000041</v>
      </c>
      <c r="AS278" s="133"/>
      <c r="AT278" s="132">
        <f t="shared" si="263"/>
        <v>226</v>
      </c>
      <c r="AU278" s="148">
        <f t="shared" si="229"/>
        <v>52535</v>
      </c>
      <c r="AV278" s="131">
        <f t="shared" si="264"/>
        <v>0</v>
      </c>
      <c r="AW278" s="131">
        <f t="shared" si="230"/>
        <v>0</v>
      </c>
      <c r="AX278" s="131">
        <f t="shared" si="231"/>
        <v>0</v>
      </c>
      <c r="AY278" s="131">
        <f t="shared" si="232"/>
        <v>0</v>
      </c>
      <c r="AZ278" s="131">
        <f t="shared" si="233"/>
        <v>0</v>
      </c>
      <c r="BA278" s="131">
        <f t="shared" si="265"/>
        <v>0</v>
      </c>
      <c r="BB278" s="131">
        <f t="shared" si="234"/>
        <v>0</v>
      </c>
      <c r="BC278" s="131">
        <f t="shared" si="235"/>
        <v>0</v>
      </c>
      <c r="BD278" s="131">
        <f t="shared" si="236"/>
        <v>0</v>
      </c>
      <c r="BE278" s="131">
        <f t="shared" si="237"/>
        <v>0</v>
      </c>
      <c r="BF278" s="131">
        <f t="shared" si="266"/>
        <v>0</v>
      </c>
      <c r="BG278" s="131">
        <f t="shared" si="238"/>
        <v>0</v>
      </c>
      <c r="BH278" s="131">
        <f t="shared" si="239"/>
        <v>0</v>
      </c>
      <c r="BI278" s="131">
        <f t="shared" si="240"/>
        <v>0</v>
      </c>
      <c r="BJ278" s="131">
        <f t="shared" si="241"/>
        <v>0</v>
      </c>
      <c r="BK278" s="131">
        <f t="shared" si="267"/>
        <v>33715.019999999997</v>
      </c>
      <c r="BL278" s="131">
        <f t="shared" si="242"/>
        <v>168.58</v>
      </c>
      <c r="BM278" s="131">
        <f t="shared" si="243"/>
        <v>181.42</v>
      </c>
      <c r="BN278" s="131">
        <f t="shared" si="244"/>
        <v>920</v>
      </c>
      <c r="BO278" s="131">
        <f t="shared" si="245"/>
        <v>32613.599999999999</v>
      </c>
      <c r="BP278" s="131">
        <f t="shared" si="268"/>
        <v>12000</v>
      </c>
      <c r="BQ278" s="131">
        <f t="shared" si="246"/>
        <v>50</v>
      </c>
      <c r="BR278" s="131">
        <f t="shared" si="247"/>
        <v>0</v>
      </c>
      <c r="BS278" s="131">
        <f t="shared" si="248"/>
        <v>0</v>
      </c>
      <c r="BT278" s="131">
        <f t="shared" si="249"/>
        <v>12000</v>
      </c>
      <c r="BU278" s="131">
        <f t="shared" si="269"/>
        <v>0</v>
      </c>
      <c r="BV278" s="131">
        <f t="shared" si="250"/>
        <v>0</v>
      </c>
      <c r="BW278" s="131">
        <f t="shared" si="251"/>
        <v>0</v>
      </c>
      <c r="BX278" s="131">
        <f t="shared" si="252"/>
        <v>0</v>
      </c>
      <c r="BY278" s="131">
        <f t="shared" si="253"/>
        <v>0</v>
      </c>
      <c r="BZ278" s="147">
        <f t="shared" si="270"/>
        <v>920</v>
      </c>
      <c r="CA278" s="147">
        <f t="shared" si="271"/>
        <v>223146.71000000008</v>
      </c>
    </row>
    <row r="279" spans="11:79">
      <c r="K279" s="152">
        <f t="shared" si="254"/>
        <v>227</v>
      </c>
      <c r="L279" s="151">
        <f t="shared" si="204"/>
        <v>52565</v>
      </c>
      <c r="M279" s="150">
        <f t="shared" si="255"/>
        <v>0</v>
      </c>
      <c r="N279" s="150">
        <f t="shared" si="205"/>
        <v>0</v>
      </c>
      <c r="O279" s="150">
        <f t="shared" si="206"/>
        <v>0</v>
      </c>
      <c r="P279" s="150">
        <f t="shared" si="207"/>
        <v>0</v>
      </c>
      <c r="Q279" s="150">
        <f t="shared" si="208"/>
        <v>0</v>
      </c>
      <c r="R279" s="150">
        <f t="shared" si="256"/>
        <v>0</v>
      </c>
      <c r="S279" s="150">
        <f t="shared" si="209"/>
        <v>0</v>
      </c>
      <c r="T279" s="150">
        <f t="shared" si="210"/>
        <v>0</v>
      </c>
      <c r="U279" s="150">
        <f t="shared" si="211"/>
        <v>0</v>
      </c>
      <c r="V279" s="150">
        <f t="shared" si="212"/>
        <v>0</v>
      </c>
      <c r="W279" s="150">
        <f t="shared" si="257"/>
        <v>0</v>
      </c>
      <c r="X279" s="150">
        <f t="shared" si="213"/>
        <v>0</v>
      </c>
      <c r="Y279" s="150">
        <f t="shared" si="214"/>
        <v>0</v>
      </c>
      <c r="Z279" s="150">
        <f t="shared" si="215"/>
        <v>0</v>
      </c>
      <c r="AA279" s="150">
        <f t="shared" si="216"/>
        <v>0</v>
      </c>
      <c r="AB279" s="150">
        <f t="shared" si="258"/>
        <v>38003.17</v>
      </c>
      <c r="AC279" s="150">
        <f t="shared" si="217"/>
        <v>190.02</v>
      </c>
      <c r="AD279" s="150">
        <f t="shared" si="218"/>
        <v>159.97999999999999</v>
      </c>
      <c r="AE279" s="150">
        <f t="shared" si="219"/>
        <v>970</v>
      </c>
      <c r="AF279" s="150">
        <f t="shared" si="220"/>
        <v>36873.19</v>
      </c>
      <c r="AG279" s="150">
        <f t="shared" si="259"/>
        <v>0</v>
      </c>
      <c r="AH279" s="150">
        <f t="shared" si="221"/>
        <v>0</v>
      </c>
      <c r="AI279" s="150">
        <f t="shared" si="222"/>
        <v>0</v>
      </c>
      <c r="AJ279" s="150">
        <f t="shared" si="223"/>
        <v>0</v>
      </c>
      <c r="AK279" s="150">
        <f t="shared" si="224"/>
        <v>0</v>
      </c>
      <c r="AL279" s="150">
        <f t="shared" si="260"/>
        <v>0</v>
      </c>
      <c r="AM279" s="150">
        <f t="shared" si="225"/>
        <v>0</v>
      </c>
      <c r="AN279" s="150">
        <f t="shared" si="226"/>
        <v>0</v>
      </c>
      <c r="AO279" s="150">
        <f t="shared" si="227"/>
        <v>0</v>
      </c>
      <c r="AP279" s="150">
        <f t="shared" si="228"/>
        <v>0</v>
      </c>
      <c r="AQ279" s="149">
        <f t="shared" si="261"/>
        <v>970</v>
      </c>
      <c r="AR279" s="149">
        <f t="shared" si="262"/>
        <v>235109.4900000004</v>
      </c>
      <c r="AS279" s="133"/>
      <c r="AT279" s="152">
        <f t="shared" si="263"/>
        <v>227</v>
      </c>
      <c r="AU279" s="151">
        <f t="shared" si="229"/>
        <v>52565</v>
      </c>
      <c r="AV279" s="150">
        <f t="shared" si="264"/>
        <v>0</v>
      </c>
      <c r="AW279" s="150">
        <f t="shared" si="230"/>
        <v>0</v>
      </c>
      <c r="AX279" s="150">
        <f t="shared" si="231"/>
        <v>0</v>
      </c>
      <c r="AY279" s="150">
        <f t="shared" si="232"/>
        <v>0</v>
      </c>
      <c r="AZ279" s="150">
        <f t="shared" si="233"/>
        <v>0</v>
      </c>
      <c r="BA279" s="150">
        <f t="shared" si="265"/>
        <v>0</v>
      </c>
      <c r="BB279" s="150">
        <f t="shared" si="234"/>
        <v>0</v>
      </c>
      <c r="BC279" s="150">
        <f t="shared" si="235"/>
        <v>0</v>
      </c>
      <c r="BD279" s="150">
        <f t="shared" si="236"/>
        <v>0</v>
      </c>
      <c r="BE279" s="150">
        <f t="shared" si="237"/>
        <v>0</v>
      </c>
      <c r="BF279" s="150">
        <f t="shared" si="266"/>
        <v>0</v>
      </c>
      <c r="BG279" s="150">
        <f t="shared" si="238"/>
        <v>0</v>
      </c>
      <c r="BH279" s="150">
        <f t="shared" si="239"/>
        <v>0</v>
      </c>
      <c r="BI279" s="150">
        <f t="shared" si="240"/>
        <v>0</v>
      </c>
      <c r="BJ279" s="150">
        <f t="shared" si="241"/>
        <v>0</v>
      </c>
      <c r="BK279" s="150">
        <f t="shared" si="267"/>
        <v>32613.599999999999</v>
      </c>
      <c r="BL279" s="150">
        <f t="shared" si="242"/>
        <v>163.07</v>
      </c>
      <c r="BM279" s="150">
        <f t="shared" si="243"/>
        <v>186.93</v>
      </c>
      <c r="BN279" s="150">
        <f t="shared" si="244"/>
        <v>920</v>
      </c>
      <c r="BO279" s="150">
        <f t="shared" si="245"/>
        <v>31506.67</v>
      </c>
      <c r="BP279" s="150">
        <f t="shared" si="268"/>
        <v>12000</v>
      </c>
      <c r="BQ279" s="150">
        <f t="shared" si="246"/>
        <v>50</v>
      </c>
      <c r="BR279" s="150">
        <f t="shared" si="247"/>
        <v>0</v>
      </c>
      <c r="BS279" s="150">
        <f t="shared" si="248"/>
        <v>0</v>
      </c>
      <c r="BT279" s="150">
        <f t="shared" si="249"/>
        <v>12000</v>
      </c>
      <c r="BU279" s="150">
        <f t="shared" si="269"/>
        <v>0</v>
      </c>
      <c r="BV279" s="150">
        <f t="shared" si="250"/>
        <v>0</v>
      </c>
      <c r="BW279" s="150">
        <f t="shared" si="251"/>
        <v>0</v>
      </c>
      <c r="BX279" s="150">
        <f t="shared" si="252"/>
        <v>0</v>
      </c>
      <c r="BY279" s="150">
        <f t="shared" si="253"/>
        <v>0</v>
      </c>
      <c r="BZ279" s="147">
        <f t="shared" si="270"/>
        <v>920</v>
      </c>
      <c r="CA279" s="147">
        <f t="shared" si="271"/>
        <v>223359.78000000009</v>
      </c>
    </row>
    <row r="280" spans="11:79">
      <c r="K280" s="132">
        <f t="shared" si="254"/>
        <v>228</v>
      </c>
      <c r="L280" s="148">
        <f t="shared" si="204"/>
        <v>52596</v>
      </c>
      <c r="M280" s="131">
        <f t="shared" si="255"/>
        <v>0</v>
      </c>
      <c r="N280" s="131">
        <f t="shared" si="205"/>
        <v>0</v>
      </c>
      <c r="O280" s="131">
        <f t="shared" si="206"/>
        <v>0</v>
      </c>
      <c r="P280" s="131">
        <f t="shared" si="207"/>
        <v>0</v>
      </c>
      <c r="Q280" s="131">
        <f t="shared" si="208"/>
        <v>0</v>
      </c>
      <c r="R280" s="131">
        <f t="shared" si="256"/>
        <v>0</v>
      </c>
      <c r="S280" s="131">
        <f t="shared" si="209"/>
        <v>0</v>
      </c>
      <c r="T280" s="131">
        <f t="shared" si="210"/>
        <v>0</v>
      </c>
      <c r="U280" s="131">
        <f t="shared" si="211"/>
        <v>0</v>
      </c>
      <c r="V280" s="131">
        <f t="shared" si="212"/>
        <v>0</v>
      </c>
      <c r="W280" s="131">
        <f t="shared" si="257"/>
        <v>0</v>
      </c>
      <c r="X280" s="131">
        <f t="shared" si="213"/>
        <v>0</v>
      </c>
      <c r="Y280" s="131">
        <f t="shared" si="214"/>
        <v>0</v>
      </c>
      <c r="Z280" s="131">
        <f t="shared" si="215"/>
        <v>0</v>
      </c>
      <c r="AA280" s="131">
        <f t="shared" si="216"/>
        <v>0</v>
      </c>
      <c r="AB280" s="131">
        <f t="shared" si="258"/>
        <v>36873.19</v>
      </c>
      <c r="AC280" s="131">
        <f t="shared" si="217"/>
        <v>184.37</v>
      </c>
      <c r="AD280" s="131">
        <f t="shared" si="218"/>
        <v>165.63</v>
      </c>
      <c r="AE280" s="131">
        <f t="shared" si="219"/>
        <v>970</v>
      </c>
      <c r="AF280" s="131">
        <f t="shared" si="220"/>
        <v>35737.56</v>
      </c>
      <c r="AG280" s="131">
        <f t="shared" si="259"/>
        <v>0</v>
      </c>
      <c r="AH280" s="131">
        <f t="shared" si="221"/>
        <v>0</v>
      </c>
      <c r="AI280" s="131">
        <f t="shared" si="222"/>
        <v>0</v>
      </c>
      <c r="AJ280" s="131">
        <f t="shared" si="223"/>
        <v>0</v>
      </c>
      <c r="AK280" s="131">
        <f t="shared" si="224"/>
        <v>0</v>
      </c>
      <c r="AL280" s="131">
        <f t="shared" si="260"/>
        <v>0</v>
      </c>
      <c r="AM280" s="131">
        <f t="shared" si="225"/>
        <v>0</v>
      </c>
      <c r="AN280" s="131">
        <f t="shared" si="226"/>
        <v>0</v>
      </c>
      <c r="AO280" s="131">
        <f t="shared" si="227"/>
        <v>0</v>
      </c>
      <c r="AP280" s="131">
        <f t="shared" si="228"/>
        <v>0</v>
      </c>
      <c r="AQ280" s="149">
        <f t="shared" si="261"/>
        <v>970</v>
      </c>
      <c r="AR280" s="149">
        <f t="shared" si="262"/>
        <v>235293.86000000039</v>
      </c>
      <c r="AS280" s="133"/>
      <c r="AT280" s="132">
        <f t="shared" si="263"/>
        <v>228</v>
      </c>
      <c r="AU280" s="148">
        <f t="shared" si="229"/>
        <v>52596</v>
      </c>
      <c r="AV280" s="131">
        <f t="shared" si="264"/>
        <v>0</v>
      </c>
      <c r="AW280" s="131">
        <f t="shared" si="230"/>
        <v>0</v>
      </c>
      <c r="AX280" s="131">
        <f t="shared" si="231"/>
        <v>0</v>
      </c>
      <c r="AY280" s="131">
        <f t="shared" si="232"/>
        <v>0</v>
      </c>
      <c r="AZ280" s="131">
        <f t="shared" si="233"/>
        <v>0</v>
      </c>
      <c r="BA280" s="131">
        <f t="shared" si="265"/>
        <v>0</v>
      </c>
      <c r="BB280" s="131">
        <f t="shared" si="234"/>
        <v>0</v>
      </c>
      <c r="BC280" s="131">
        <f t="shared" si="235"/>
        <v>0</v>
      </c>
      <c r="BD280" s="131">
        <f t="shared" si="236"/>
        <v>0</v>
      </c>
      <c r="BE280" s="131">
        <f t="shared" si="237"/>
        <v>0</v>
      </c>
      <c r="BF280" s="131">
        <f t="shared" si="266"/>
        <v>0</v>
      </c>
      <c r="BG280" s="131">
        <f t="shared" si="238"/>
        <v>0</v>
      </c>
      <c r="BH280" s="131">
        <f t="shared" si="239"/>
        <v>0</v>
      </c>
      <c r="BI280" s="131">
        <f t="shared" si="240"/>
        <v>0</v>
      </c>
      <c r="BJ280" s="131">
        <f t="shared" si="241"/>
        <v>0</v>
      </c>
      <c r="BK280" s="131">
        <f t="shared" si="267"/>
        <v>31506.67</v>
      </c>
      <c r="BL280" s="131">
        <f t="shared" si="242"/>
        <v>157.53</v>
      </c>
      <c r="BM280" s="131">
        <f t="shared" si="243"/>
        <v>192.47</v>
      </c>
      <c r="BN280" s="131">
        <f t="shared" si="244"/>
        <v>920</v>
      </c>
      <c r="BO280" s="131">
        <f t="shared" si="245"/>
        <v>30394.2</v>
      </c>
      <c r="BP280" s="131">
        <f t="shared" si="268"/>
        <v>12000</v>
      </c>
      <c r="BQ280" s="131">
        <f t="shared" si="246"/>
        <v>50</v>
      </c>
      <c r="BR280" s="131">
        <f t="shared" si="247"/>
        <v>0</v>
      </c>
      <c r="BS280" s="131">
        <f t="shared" si="248"/>
        <v>0</v>
      </c>
      <c r="BT280" s="131">
        <f t="shared" si="249"/>
        <v>12000</v>
      </c>
      <c r="BU280" s="131">
        <f t="shared" si="269"/>
        <v>0</v>
      </c>
      <c r="BV280" s="131">
        <f t="shared" si="250"/>
        <v>0</v>
      </c>
      <c r="BW280" s="131">
        <f t="shared" si="251"/>
        <v>0</v>
      </c>
      <c r="BX280" s="131">
        <f t="shared" si="252"/>
        <v>0</v>
      </c>
      <c r="BY280" s="131">
        <f t="shared" si="253"/>
        <v>0</v>
      </c>
      <c r="BZ280" s="147">
        <f t="shared" si="270"/>
        <v>920</v>
      </c>
      <c r="CA280" s="147">
        <f t="shared" si="271"/>
        <v>223567.31000000008</v>
      </c>
    </row>
    <row r="281" spans="11:79">
      <c r="K281" s="152">
        <f t="shared" si="254"/>
        <v>229</v>
      </c>
      <c r="L281" s="151">
        <f t="shared" si="204"/>
        <v>52627</v>
      </c>
      <c r="M281" s="150">
        <f t="shared" si="255"/>
        <v>0</v>
      </c>
      <c r="N281" s="150">
        <f t="shared" si="205"/>
        <v>0</v>
      </c>
      <c r="O281" s="150">
        <f t="shared" si="206"/>
        <v>0</v>
      </c>
      <c r="P281" s="150">
        <f t="shared" si="207"/>
        <v>0</v>
      </c>
      <c r="Q281" s="150">
        <f t="shared" si="208"/>
        <v>0</v>
      </c>
      <c r="R281" s="150">
        <f t="shared" si="256"/>
        <v>0</v>
      </c>
      <c r="S281" s="150">
        <f t="shared" si="209"/>
        <v>0</v>
      </c>
      <c r="T281" s="150">
        <f t="shared" si="210"/>
        <v>0</v>
      </c>
      <c r="U281" s="150">
        <f t="shared" si="211"/>
        <v>0</v>
      </c>
      <c r="V281" s="150">
        <f t="shared" si="212"/>
        <v>0</v>
      </c>
      <c r="W281" s="150">
        <f t="shared" si="257"/>
        <v>0</v>
      </c>
      <c r="X281" s="150">
        <f t="shared" si="213"/>
        <v>0</v>
      </c>
      <c r="Y281" s="150">
        <f t="shared" si="214"/>
        <v>0</v>
      </c>
      <c r="Z281" s="150">
        <f t="shared" si="215"/>
        <v>0</v>
      </c>
      <c r="AA281" s="150">
        <f t="shared" si="216"/>
        <v>0</v>
      </c>
      <c r="AB281" s="150">
        <f t="shared" si="258"/>
        <v>35737.56</v>
      </c>
      <c r="AC281" s="150">
        <f t="shared" si="217"/>
        <v>178.69</v>
      </c>
      <c r="AD281" s="150">
        <f t="shared" si="218"/>
        <v>171.31</v>
      </c>
      <c r="AE281" s="150">
        <f t="shared" si="219"/>
        <v>970</v>
      </c>
      <c r="AF281" s="150">
        <f t="shared" si="220"/>
        <v>34596.25</v>
      </c>
      <c r="AG281" s="150">
        <f t="shared" si="259"/>
        <v>0</v>
      </c>
      <c r="AH281" s="150">
        <f t="shared" si="221"/>
        <v>0</v>
      </c>
      <c r="AI281" s="150">
        <f t="shared" si="222"/>
        <v>0</v>
      </c>
      <c r="AJ281" s="150">
        <f t="shared" si="223"/>
        <v>0</v>
      </c>
      <c r="AK281" s="150">
        <f t="shared" si="224"/>
        <v>0</v>
      </c>
      <c r="AL281" s="150">
        <f t="shared" si="260"/>
        <v>0</v>
      </c>
      <c r="AM281" s="150">
        <f t="shared" si="225"/>
        <v>0</v>
      </c>
      <c r="AN281" s="150">
        <f t="shared" si="226"/>
        <v>0</v>
      </c>
      <c r="AO281" s="150">
        <f t="shared" si="227"/>
        <v>0</v>
      </c>
      <c r="AP281" s="150">
        <f t="shared" si="228"/>
        <v>0</v>
      </c>
      <c r="AQ281" s="149">
        <f t="shared" si="261"/>
        <v>970</v>
      </c>
      <c r="AR281" s="149">
        <f t="shared" si="262"/>
        <v>235472.5500000004</v>
      </c>
      <c r="AS281" s="133"/>
      <c r="AT281" s="152">
        <f t="shared" si="263"/>
        <v>229</v>
      </c>
      <c r="AU281" s="151">
        <f t="shared" si="229"/>
        <v>52627</v>
      </c>
      <c r="AV281" s="150">
        <f t="shared" si="264"/>
        <v>0</v>
      </c>
      <c r="AW281" s="150">
        <f t="shared" si="230"/>
        <v>0</v>
      </c>
      <c r="AX281" s="150">
        <f t="shared" si="231"/>
        <v>0</v>
      </c>
      <c r="AY281" s="150">
        <f t="shared" si="232"/>
        <v>0</v>
      </c>
      <c r="AZ281" s="150">
        <f t="shared" si="233"/>
        <v>0</v>
      </c>
      <c r="BA281" s="150">
        <f t="shared" si="265"/>
        <v>0</v>
      </c>
      <c r="BB281" s="150">
        <f t="shared" si="234"/>
        <v>0</v>
      </c>
      <c r="BC281" s="150">
        <f t="shared" si="235"/>
        <v>0</v>
      </c>
      <c r="BD281" s="150">
        <f t="shared" si="236"/>
        <v>0</v>
      </c>
      <c r="BE281" s="150">
        <f t="shared" si="237"/>
        <v>0</v>
      </c>
      <c r="BF281" s="150">
        <f t="shared" si="266"/>
        <v>0</v>
      </c>
      <c r="BG281" s="150">
        <f t="shared" si="238"/>
        <v>0</v>
      </c>
      <c r="BH281" s="150">
        <f t="shared" si="239"/>
        <v>0</v>
      </c>
      <c r="BI281" s="150">
        <f t="shared" si="240"/>
        <v>0</v>
      </c>
      <c r="BJ281" s="150">
        <f t="shared" si="241"/>
        <v>0</v>
      </c>
      <c r="BK281" s="150">
        <f t="shared" si="267"/>
        <v>30394.2</v>
      </c>
      <c r="BL281" s="150">
        <f t="shared" si="242"/>
        <v>151.97</v>
      </c>
      <c r="BM281" s="150">
        <f t="shared" si="243"/>
        <v>198.03</v>
      </c>
      <c r="BN281" s="150">
        <f t="shared" si="244"/>
        <v>920</v>
      </c>
      <c r="BO281" s="150">
        <f t="shared" si="245"/>
        <v>29276.17</v>
      </c>
      <c r="BP281" s="150">
        <f t="shared" si="268"/>
        <v>12000</v>
      </c>
      <c r="BQ281" s="150">
        <f t="shared" si="246"/>
        <v>50</v>
      </c>
      <c r="BR281" s="150">
        <f t="shared" si="247"/>
        <v>0</v>
      </c>
      <c r="BS281" s="150">
        <f t="shared" si="248"/>
        <v>0</v>
      </c>
      <c r="BT281" s="150">
        <f t="shared" si="249"/>
        <v>12000</v>
      </c>
      <c r="BU281" s="150">
        <f t="shared" si="269"/>
        <v>0</v>
      </c>
      <c r="BV281" s="150">
        <f t="shared" si="250"/>
        <v>0</v>
      </c>
      <c r="BW281" s="150">
        <f t="shared" si="251"/>
        <v>0</v>
      </c>
      <c r="BX281" s="150">
        <f t="shared" si="252"/>
        <v>0</v>
      </c>
      <c r="BY281" s="150">
        <f t="shared" si="253"/>
        <v>0</v>
      </c>
      <c r="BZ281" s="147">
        <f t="shared" si="270"/>
        <v>920</v>
      </c>
      <c r="CA281" s="147">
        <f t="shared" si="271"/>
        <v>223769.28000000009</v>
      </c>
    </row>
    <row r="282" spans="11:79">
      <c r="K282" s="132">
        <f t="shared" si="254"/>
        <v>230</v>
      </c>
      <c r="L282" s="148">
        <f t="shared" si="204"/>
        <v>52656</v>
      </c>
      <c r="M282" s="131">
        <f t="shared" si="255"/>
        <v>0</v>
      </c>
      <c r="N282" s="131">
        <f t="shared" si="205"/>
        <v>0</v>
      </c>
      <c r="O282" s="131">
        <f t="shared" si="206"/>
        <v>0</v>
      </c>
      <c r="P282" s="131">
        <f t="shared" si="207"/>
        <v>0</v>
      </c>
      <c r="Q282" s="131">
        <f t="shared" si="208"/>
        <v>0</v>
      </c>
      <c r="R282" s="131">
        <f t="shared" si="256"/>
        <v>0</v>
      </c>
      <c r="S282" s="131">
        <f t="shared" si="209"/>
        <v>0</v>
      </c>
      <c r="T282" s="131">
        <f t="shared" si="210"/>
        <v>0</v>
      </c>
      <c r="U282" s="131">
        <f t="shared" si="211"/>
        <v>0</v>
      </c>
      <c r="V282" s="131">
        <f t="shared" si="212"/>
        <v>0</v>
      </c>
      <c r="W282" s="131">
        <f t="shared" si="257"/>
        <v>0</v>
      </c>
      <c r="X282" s="131">
        <f t="shared" si="213"/>
        <v>0</v>
      </c>
      <c r="Y282" s="131">
        <f t="shared" si="214"/>
        <v>0</v>
      </c>
      <c r="Z282" s="131">
        <f t="shared" si="215"/>
        <v>0</v>
      </c>
      <c r="AA282" s="131">
        <f t="shared" si="216"/>
        <v>0</v>
      </c>
      <c r="AB282" s="131">
        <f t="shared" si="258"/>
        <v>34596.25</v>
      </c>
      <c r="AC282" s="131">
        <f t="shared" si="217"/>
        <v>172.98</v>
      </c>
      <c r="AD282" s="131">
        <f t="shared" si="218"/>
        <v>177.02</v>
      </c>
      <c r="AE282" s="131">
        <f t="shared" si="219"/>
        <v>970</v>
      </c>
      <c r="AF282" s="131">
        <f t="shared" si="220"/>
        <v>33449.230000000003</v>
      </c>
      <c r="AG282" s="131">
        <f t="shared" si="259"/>
        <v>0</v>
      </c>
      <c r="AH282" s="131">
        <f t="shared" si="221"/>
        <v>0</v>
      </c>
      <c r="AI282" s="131">
        <f t="shared" si="222"/>
        <v>0</v>
      </c>
      <c r="AJ282" s="131">
        <f t="shared" si="223"/>
        <v>0</v>
      </c>
      <c r="AK282" s="131">
        <f t="shared" si="224"/>
        <v>0</v>
      </c>
      <c r="AL282" s="131">
        <f t="shared" si="260"/>
        <v>0</v>
      </c>
      <c r="AM282" s="131">
        <f t="shared" si="225"/>
        <v>0</v>
      </c>
      <c r="AN282" s="131">
        <f t="shared" si="226"/>
        <v>0</v>
      </c>
      <c r="AO282" s="131">
        <f t="shared" si="227"/>
        <v>0</v>
      </c>
      <c r="AP282" s="131">
        <f t="shared" si="228"/>
        <v>0</v>
      </c>
      <c r="AQ282" s="149">
        <f t="shared" si="261"/>
        <v>970</v>
      </c>
      <c r="AR282" s="149">
        <f t="shared" si="262"/>
        <v>235645.53000000041</v>
      </c>
      <c r="AS282" s="133"/>
      <c r="AT282" s="132">
        <f t="shared" si="263"/>
        <v>230</v>
      </c>
      <c r="AU282" s="148">
        <f t="shared" si="229"/>
        <v>52656</v>
      </c>
      <c r="AV282" s="131">
        <f t="shared" si="264"/>
        <v>0</v>
      </c>
      <c r="AW282" s="131">
        <f t="shared" si="230"/>
        <v>0</v>
      </c>
      <c r="AX282" s="131">
        <f t="shared" si="231"/>
        <v>0</v>
      </c>
      <c r="AY282" s="131">
        <f t="shared" si="232"/>
        <v>0</v>
      </c>
      <c r="AZ282" s="131">
        <f t="shared" si="233"/>
        <v>0</v>
      </c>
      <c r="BA282" s="131">
        <f t="shared" si="265"/>
        <v>0</v>
      </c>
      <c r="BB282" s="131">
        <f t="shared" si="234"/>
        <v>0</v>
      </c>
      <c r="BC282" s="131">
        <f t="shared" si="235"/>
        <v>0</v>
      </c>
      <c r="BD282" s="131">
        <f t="shared" si="236"/>
        <v>0</v>
      </c>
      <c r="BE282" s="131">
        <f t="shared" si="237"/>
        <v>0</v>
      </c>
      <c r="BF282" s="131">
        <f t="shared" si="266"/>
        <v>0</v>
      </c>
      <c r="BG282" s="131">
        <f t="shared" si="238"/>
        <v>0</v>
      </c>
      <c r="BH282" s="131">
        <f t="shared" si="239"/>
        <v>0</v>
      </c>
      <c r="BI282" s="131">
        <f t="shared" si="240"/>
        <v>0</v>
      </c>
      <c r="BJ282" s="131">
        <f t="shared" si="241"/>
        <v>0</v>
      </c>
      <c r="BK282" s="131">
        <f t="shared" si="267"/>
        <v>29276.17</v>
      </c>
      <c r="BL282" s="131">
        <f t="shared" si="242"/>
        <v>146.38</v>
      </c>
      <c r="BM282" s="131">
        <f t="shared" si="243"/>
        <v>203.62</v>
      </c>
      <c r="BN282" s="131">
        <f t="shared" si="244"/>
        <v>920</v>
      </c>
      <c r="BO282" s="131">
        <f t="shared" si="245"/>
        <v>28152.55</v>
      </c>
      <c r="BP282" s="131">
        <f t="shared" si="268"/>
        <v>12000</v>
      </c>
      <c r="BQ282" s="131">
        <f t="shared" si="246"/>
        <v>50</v>
      </c>
      <c r="BR282" s="131">
        <f t="shared" si="247"/>
        <v>0</v>
      </c>
      <c r="BS282" s="131">
        <f t="shared" si="248"/>
        <v>0</v>
      </c>
      <c r="BT282" s="131">
        <f t="shared" si="249"/>
        <v>12000</v>
      </c>
      <c r="BU282" s="131">
        <f t="shared" si="269"/>
        <v>0</v>
      </c>
      <c r="BV282" s="131">
        <f t="shared" si="250"/>
        <v>0</v>
      </c>
      <c r="BW282" s="131">
        <f t="shared" si="251"/>
        <v>0</v>
      </c>
      <c r="BX282" s="131">
        <f t="shared" si="252"/>
        <v>0</v>
      </c>
      <c r="BY282" s="131">
        <f t="shared" si="253"/>
        <v>0</v>
      </c>
      <c r="BZ282" s="147">
        <f t="shared" si="270"/>
        <v>920</v>
      </c>
      <c r="CA282" s="147">
        <f t="shared" si="271"/>
        <v>223965.66000000009</v>
      </c>
    </row>
    <row r="283" spans="11:79">
      <c r="K283" s="152">
        <f t="shared" si="254"/>
        <v>231</v>
      </c>
      <c r="L283" s="151">
        <f t="shared" si="204"/>
        <v>52687</v>
      </c>
      <c r="M283" s="150">
        <f t="shared" si="255"/>
        <v>0</v>
      </c>
      <c r="N283" s="150">
        <f t="shared" si="205"/>
        <v>0</v>
      </c>
      <c r="O283" s="150">
        <f t="shared" si="206"/>
        <v>0</v>
      </c>
      <c r="P283" s="150">
        <f t="shared" si="207"/>
        <v>0</v>
      </c>
      <c r="Q283" s="150">
        <f t="shared" si="208"/>
        <v>0</v>
      </c>
      <c r="R283" s="150">
        <f t="shared" si="256"/>
        <v>0</v>
      </c>
      <c r="S283" s="150">
        <f t="shared" si="209"/>
        <v>0</v>
      </c>
      <c r="T283" s="150">
        <f t="shared" si="210"/>
        <v>0</v>
      </c>
      <c r="U283" s="150">
        <f t="shared" si="211"/>
        <v>0</v>
      </c>
      <c r="V283" s="150">
        <f t="shared" si="212"/>
        <v>0</v>
      </c>
      <c r="W283" s="150">
        <f t="shared" si="257"/>
        <v>0</v>
      </c>
      <c r="X283" s="150">
        <f t="shared" si="213"/>
        <v>0</v>
      </c>
      <c r="Y283" s="150">
        <f t="shared" si="214"/>
        <v>0</v>
      </c>
      <c r="Z283" s="150">
        <f t="shared" si="215"/>
        <v>0</v>
      </c>
      <c r="AA283" s="150">
        <f t="shared" si="216"/>
        <v>0</v>
      </c>
      <c r="AB283" s="150">
        <f t="shared" si="258"/>
        <v>33449.230000000003</v>
      </c>
      <c r="AC283" s="150">
        <f t="shared" si="217"/>
        <v>167.25</v>
      </c>
      <c r="AD283" s="150">
        <f t="shared" si="218"/>
        <v>182.75</v>
      </c>
      <c r="AE283" s="150">
        <f t="shared" si="219"/>
        <v>970</v>
      </c>
      <c r="AF283" s="150">
        <f t="shared" si="220"/>
        <v>32296.48</v>
      </c>
      <c r="AG283" s="150">
        <f t="shared" si="259"/>
        <v>0</v>
      </c>
      <c r="AH283" s="150">
        <f t="shared" si="221"/>
        <v>0</v>
      </c>
      <c r="AI283" s="150">
        <f t="shared" si="222"/>
        <v>0</v>
      </c>
      <c r="AJ283" s="150">
        <f t="shared" si="223"/>
        <v>0</v>
      </c>
      <c r="AK283" s="150">
        <f t="shared" si="224"/>
        <v>0</v>
      </c>
      <c r="AL283" s="150">
        <f t="shared" si="260"/>
        <v>0</v>
      </c>
      <c r="AM283" s="150">
        <f t="shared" si="225"/>
        <v>0</v>
      </c>
      <c r="AN283" s="150">
        <f t="shared" si="226"/>
        <v>0</v>
      </c>
      <c r="AO283" s="150">
        <f t="shared" si="227"/>
        <v>0</v>
      </c>
      <c r="AP283" s="150">
        <f t="shared" si="228"/>
        <v>0</v>
      </c>
      <c r="AQ283" s="149">
        <f t="shared" si="261"/>
        <v>970</v>
      </c>
      <c r="AR283" s="149">
        <f t="shared" si="262"/>
        <v>235812.78000000041</v>
      </c>
      <c r="AS283" s="133"/>
      <c r="AT283" s="152">
        <f t="shared" si="263"/>
        <v>231</v>
      </c>
      <c r="AU283" s="151">
        <f t="shared" si="229"/>
        <v>52687</v>
      </c>
      <c r="AV283" s="150">
        <f t="shared" si="264"/>
        <v>0</v>
      </c>
      <c r="AW283" s="150">
        <f t="shared" si="230"/>
        <v>0</v>
      </c>
      <c r="AX283" s="150">
        <f t="shared" si="231"/>
        <v>0</v>
      </c>
      <c r="AY283" s="150">
        <f t="shared" si="232"/>
        <v>0</v>
      </c>
      <c r="AZ283" s="150">
        <f t="shared" si="233"/>
        <v>0</v>
      </c>
      <c r="BA283" s="150">
        <f t="shared" si="265"/>
        <v>0</v>
      </c>
      <c r="BB283" s="150">
        <f t="shared" si="234"/>
        <v>0</v>
      </c>
      <c r="BC283" s="150">
        <f t="shared" si="235"/>
        <v>0</v>
      </c>
      <c r="BD283" s="150">
        <f t="shared" si="236"/>
        <v>0</v>
      </c>
      <c r="BE283" s="150">
        <f t="shared" si="237"/>
        <v>0</v>
      </c>
      <c r="BF283" s="150">
        <f t="shared" si="266"/>
        <v>0</v>
      </c>
      <c r="BG283" s="150">
        <f t="shared" si="238"/>
        <v>0</v>
      </c>
      <c r="BH283" s="150">
        <f t="shared" si="239"/>
        <v>0</v>
      </c>
      <c r="BI283" s="150">
        <f t="shared" si="240"/>
        <v>0</v>
      </c>
      <c r="BJ283" s="150">
        <f t="shared" si="241"/>
        <v>0</v>
      </c>
      <c r="BK283" s="150">
        <f t="shared" si="267"/>
        <v>28152.55</v>
      </c>
      <c r="BL283" s="150">
        <f t="shared" si="242"/>
        <v>140.76</v>
      </c>
      <c r="BM283" s="150">
        <f t="shared" si="243"/>
        <v>209.24</v>
      </c>
      <c r="BN283" s="150">
        <f t="shared" si="244"/>
        <v>920</v>
      </c>
      <c r="BO283" s="150">
        <f t="shared" si="245"/>
        <v>27023.31</v>
      </c>
      <c r="BP283" s="150">
        <f t="shared" si="268"/>
        <v>12000</v>
      </c>
      <c r="BQ283" s="150">
        <f t="shared" si="246"/>
        <v>50</v>
      </c>
      <c r="BR283" s="150">
        <f t="shared" si="247"/>
        <v>0</v>
      </c>
      <c r="BS283" s="150">
        <f t="shared" si="248"/>
        <v>0</v>
      </c>
      <c r="BT283" s="150">
        <f t="shared" si="249"/>
        <v>12000</v>
      </c>
      <c r="BU283" s="150">
        <f t="shared" si="269"/>
        <v>0</v>
      </c>
      <c r="BV283" s="150">
        <f t="shared" si="250"/>
        <v>0</v>
      </c>
      <c r="BW283" s="150">
        <f t="shared" si="251"/>
        <v>0</v>
      </c>
      <c r="BX283" s="150">
        <f t="shared" si="252"/>
        <v>0</v>
      </c>
      <c r="BY283" s="150">
        <f t="shared" si="253"/>
        <v>0</v>
      </c>
      <c r="BZ283" s="147">
        <f t="shared" si="270"/>
        <v>920</v>
      </c>
      <c r="CA283" s="147">
        <f t="shared" si="271"/>
        <v>224156.4200000001</v>
      </c>
    </row>
    <row r="284" spans="11:79">
      <c r="K284" s="132">
        <f t="shared" si="254"/>
        <v>232</v>
      </c>
      <c r="L284" s="148">
        <f t="shared" si="204"/>
        <v>52717</v>
      </c>
      <c r="M284" s="131">
        <f t="shared" si="255"/>
        <v>0</v>
      </c>
      <c r="N284" s="131">
        <f t="shared" si="205"/>
        <v>0</v>
      </c>
      <c r="O284" s="131">
        <f t="shared" si="206"/>
        <v>0</v>
      </c>
      <c r="P284" s="131">
        <f t="shared" si="207"/>
        <v>0</v>
      </c>
      <c r="Q284" s="131">
        <f t="shared" si="208"/>
        <v>0</v>
      </c>
      <c r="R284" s="131">
        <f t="shared" si="256"/>
        <v>0</v>
      </c>
      <c r="S284" s="131">
        <f t="shared" si="209"/>
        <v>0</v>
      </c>
      <c r="T284" s="131">
        <f t="shared" si="210"/>
        <v>0</v>
      </c>
      <c r="U284" s="131">
        <f t="shared" si="211"/>
        <v>0</v>
      </c>
      <c r="V284" s="131">
        <f t="shared" si="212"/>
        <v>0</v>
      </c>
      <c r="W284" s="131">
        <f t="shared" si="257"/>
        <v>0</v>
      </c>
      <c r="X284" s="131">
        <f t="shared" si="213"/>
        <v>0</v>
      </c>
      <c r="Y284" s="131">
        <f t="shared" si="214"/>
        <v>0</v>
      </c>
      <c r="Z284" s="131">
        <f t="shared" si="215"/>
        <v>0</v>
      </c>
      <c r="AA284" s="131">
        <f t="shared" si="216"/>
        <v>0</v>
      </c>
      <c r="AB284" s="131">
        <f t="shared" si="258"/>
        <v>32296.48</v>
      </c>
      <c r="AC284" s="131">
        <f t="shared" si="217"/>
        <v>161.47999999999999</v>
      </c>
      <c r="AD284" s="131">
        <f t="shared" si="218"/>
        <v>188.52</v>
      </c>
      <c r="AE284" s="131">
        <f t="shared" si="219"/>
        <v>970</v>
      </c>
      <c r="AF284" s="131">
        <f t="shared" si="220"/>
        <v>31137.96</v>
      </c>
      <c r="AG284" s="131">
        <f t="shared" si="259"/>
        <v>0</v>
      </c>
      <c r="AH284" s="131">
        <f t="shared" si="221"/>
        <v>0</v>
      </c>
      <c r="AI284" s="131">
        <f t="shared" si="222"/>
        <v>0</v>
      </c>
      <c r="AJ284" s="131">
        <f t="shared" si="223"/>
        <v>0</v>
      </c>
      <c r="AK284" s="131">
        <f t="shared" si="224"/>
        <v>0</v>
      </c>
      <c r="AL284" s="131">
        <f t="shared" si="260"/>
        <v>0</v>
      </c>
      <c r="AM284" s="131">
        <f t="shared" si="225"/>
        <v>0</v>
      </c>
      <c r="AN284" s="131">
        <f t="shared" si="226"/>
        <v>0</v>
      </c>
      <c r="AO284" s="131">
        <f t="shared" si="227"/>
        <v>0</v>
      </c>
      <c r="AP284" s="131">
        <f t="shared" si="228"/>
        <v>0</v>
      </c>
      <c r="AQ284" s="149">
        <f t="shared" si="261"/>
        <v>970</v>
      </c>
      <c r="AR284" s="149">
        <f t="shared" si="262"/>
        <v>235974.26000000042</v>
      </c>
      <c r="AS284" s="133"/>
      <c r="AT284" s="132">
        <f t="shared" si="263"/>
        <v>232</v>
      </c>
      <c r="AU284" s="148">
        <f t="shared" si="229"/>
        <v>52717</v>
      </c>
      <c r="AV284" s="131">
        <f t="shared" si="264"/>
        <v>0</v>
      </c>
      <c r="AW284" s="131">
        <f t="shared" si="230"/>
        <v>0</v>
      </c>
      <c r="AX284" s="131">
        <f t="shared" si="231"/>
        <v>0</v>
      </c>
      <c r="AY284" s="131">
        <f t="shared" si="232"/>
        <v>0</v>
      </c>
      <c r="AZ284" s="131">
        <f t="shared" si="233"/>
        <v>0</v>
      </c>
      <c r="BA284" s="131">
        <f t="shared" si="265"/>
        <v>0</v>
      </c>
      <c r="BB284" s="131">
        <f t="shared" si="234"/>
        <v>0</v>
      </c>
      <c r="BC284" s="131">
        <f t="shared" si="235"/>
        <v>0</v>
      </c>
      <c r="BD284" s="131">
        <f t="shared" si="236"/>
        <v>0</v>
      </c>
      <c r="BE284" s="131">
        <f t="shared" si="237"/>
        <v>0</v>
      </c>
      <c r="BF284" s="131">
        <f t="shared" si="266"/>
        <v>0</v>
      </c>
      <c r="BG284" s="131">
        <f t="shared" si="238"/>
        <v>0</v>
      </c>
      <c r="BH284" s="131">
        <f t="shared" si="239"/>
        <v>0</v>
      </c>
      <c r="BI284" s="131">
        <f t="shared" si="240"/>
        <v>0</v>
      </c>
      <c r="BJ284" s="131">
        <f t="shared" si="241"/>
        <v>0</v>
      </c>
      <c r="BK284" s="131">
        <f t="shared" si="267"/>
        <v>27023.31</v>
      </c>
      <c r="BL284" s="131">
        <f t="shared" si="242"/>
        <v>135.12</v>
      </c>
      <c r="BM284" s="131">
        <f t="shared" si="243"/>
        <v>214.88</v>
      </c>
      <c r="BN284" s="131">
        <f t="shared" si="244"/>
        <v>920</v>
      </c>
      <c r="BO284" s="131">
        <f t="shared" si="245"/>
        <v>25888.43</v>
      </c>
      <c r="BP284" s="131">
        <f t="shared" si="268"/>
        <v>12000</v>
      </c>
      <c r="BQ284" s="131">
        <f t="shared" si="246"/>
        <v>50</v>
      </c>
      <c r="BR284" s="131">
        <f t="shared" si="247"/>
        <v>0</v>
      </c>
      <c r="BS284" s="131">
        <f t="shared" si="248"/>
        <v>0</v>
      </c>
      <c r="BT284" s="131">
        <f t="shared" si="249"/>
        <v>12000</v>
      </c>
      <c r="BU284" s="131">
        <f t="shared" si="269"/>
        <v>0</v>
      </c>
      <c r="BV284" s="131">
        <f t="shared" si="250"/>
        <v>0</v>
      </c>
      <c r="BW284" s="131">
        <f t="shared" si="251"/>
        <v>0</v>
      </c>
      <c r="BX284" s="131">
        <f t="shared" si="252"/>
        <v>0</v>
      </c>
      <c r="BY284" s="131">
        <f t="shared" si="253"/>
        <v>0</v>
      </c>
      <c r="BZ284" s="147">
        <f t="shared" si="270"/>
        <v>920</v>
      </c>
      <c r="CA284" s="147">
        <f t="shared" si="271"/>
        <v>224341.5400000001</v>
      </c>
    </row>
    <row r="285" spans="11:79">
      <c r="K285" s="152">
        <f t="shared" si="254"/>
        <v>233</v>
      </c>
      <c r="L285" s="151">
        <f t="shared" si="204"/>
        <v>52748</v>
      </c>
      <c r="M285" s="150">
        <f t="shared" si="255"/>
        <v>0</v>
      </c>
      <c r="N285" s="150">
        <f t="shared" si="205"/>
        <v>0</v>
      </c>
      <c r="O285" s="150">
        <f t="shared" si="206"/>
        <v>0</v>
      </c>
      <c r="P285" s="150">
        <f t="shared" si="207"/>
        <v>0</v>
      </c>
      <c r="Q285" s="150">
        <f t="shared" si="208"/>
        <v>0</v>
      </c>
      <c r="R285" s="150">
        <f t="shared" si="256"/>
        <v>0</v>
      </c>
      <c r="S285" s="150">
        <f t="shared" si="209"/>
        <v>0</v>
      </c>
      <c r="T285" s="150">
        <f t="shared" si="210"/>
        <v>0</v>
      </c>
      <c r="U285" s="150">
        <f t="shared" si="211"/>
        <v>0</v>
      </c>
      <c r="V285" s="150">
        <f t="shared" si="212"/>
        <v>0</v>
      </c>
      <c r="W285" s="150">
        <f t="shared" si="257"/>
        <v>0</v>
      </c>
      <c r="X285" s="150">
        <f t="shared" si="213"/>
        <v>0</v>
      </c>
      <c r="Y285" s="150">
        <f t="shared" si="214"/>
        <v>0</v>
      </c>
      <c r="Z285" s="150">
        <f t="shared" si="215"/>
        <v>0</v>
      </c>
      <c r="AA285" s="150">
        <f t="shared" si="216"/>
        <v>0</v>
      </c>
      <c r="AB285" s="150">
        <f t="shared" si="258"/>
        <v>31137.96</v>
      </c>
      <c r="AC285" s="150">
        <f t="shared" si="217"/>
        <v>155.69</v>
      </c>
      <c r="AD285" s="150">
        <f t="shared" si="218"/>
        <v>194.31</v>
      </c>
      <c r="AE285" s="150">
        <f t="shared" si="219"/>
        <v>970</v>
      </c>
      <c r="AF285" s="150">
        <f t="shared" si="220"/>
        <v>29973.65</v>
      </c>
      <c r="AG285" s="150">
        <f t="shared" si="259"/>
        <v>0</v>
      </c>
      <c r="AH285" s="150">
        <f t="shared" si="221"/>
        <v>0</v>
      </c>
      <c r="AI285" s="150">
        <f t="shared" si="222"/>
        <v>0</v>
      </c>
      <c r="AJ285" s="150">
        <f t="shared" si="223"/>
        <v>0</v>
      </c>
      <c r="AK285" s="150">
        <f t="shared" si="224"/>
        <v>0</v>
      </c>
      <c r="AL285" s="150">
        <f t="shared" si="260"/>
        <v>0</v>
      </c>
      <c r="AM285" s="150">
        <f t="shared" si="225"/>
        <v>0</v>
      </c>
      <c r="AN285" s="150">
        <f t="shared" si="226"/>
        <v>0</v>
      </c>
      <c r="AO285" s="150">
        <f t="shared" si="227"/>
        <v>0</v>
      </c>
      <c r="AP285" s="150">
        <f t="shared" si="228"/>
        <v>0</v>
      </c>
      <c r="AQ285" s="149">
        <f t="shared" si="261"/>
        <v>970</v>
      </c>
      <c r="AR285" s="149">
        <f t="shared" si="262"/>
        <v>236129.95000000042</v>
      </c>
      <c r="AS285" s="133"/>
      <c r="AT285" s="152">
        <f t="shared" si="263"/>
        <v>233</v>
      </c>
      <c r="AU285" s="151">
        <f t="shared" si="229"/>
        <v>52748</v>
      </c>
      <c r="AV285" s="150">
        <f t="shared" si="264"/>
        <v>0</v>
      </c>
      <c r="AW285" s="150">
        <f t="shared" si="230"/>
        <v>0</v>
      </c>
      <c r="AX285" s="150">
        <f t="shared" si="231"/>
        <v>0</v>
      </c>
      <c r="AY285" s="150">
        <f t="shared" si="232"/>
        <v>0</v>
      </c>
      <c r="AZ285" s="150">
        <f t="shared" si="233"/>
        <v>0</v>
      </c>
      <c r="BA285" s="150">
        <f t="shared" si="265"/>
        <v>0</v>
      </c>
      <c r="BB285" s="150">
        <f t="shared" si="234"/>
        <v>0</v>
      </c>
      <c r="BC285" s="150">
        <f t="shared" si="235"/>
        <v>0</v>
      </c>
      <c r="BD285" s="150">
        <f t="shared" si="236"/>
        <v>0</v>
      </c>
      <c r="BE285" s="150">
        <f t="shared" si="237"/>
        <v>0</v>
      </c>
      <c r="BF285" s="150">
        <f t="shared" si="266"/>
        <v>0</v>
      </c>
      <c r="BG285" s="150">
        <f t="shared" si="238"/>
        <v>0</v>
      </c>
      <c r="BH285" s="150">
        <f t="shared" si="239"/>
        <v>0</v>
      </c>
      <c r="BI285" s="150">
        <f t="shared" si="240"/>
        <v>0</v>
      </c>
      <c r="BJ285" s="150">
        <f t="shared" si="241"/>
        <v>0</v>
      </c>
      <c r="BK285" s="150">
        <f t="shared" si="267"/>
        <v>25888.43</v>
      </c>
      <c r="BL285" s="150">
        <f t="shared" si="242"/>
        <v>129.44</v>
      </c>
      <c r="BM285" s="150">
        <f t="shared" si="243"/>
        <v>220.56</v>
      </c>
      <c r="BN285" s="150">
        <f t="shared" si="244"/>
        <v>920</v>
      </c>
      <c r="BO285" s="150">
        <f t="shared" si="245"/>
        <v>24747.87</v>
      </c>
      <c r="BP285" s="150">
        <f t="shared" si="268"/>
        <v>12000</v>
      </c>
      <c r="BQ285" s="150">
        <f t="shared" si="246"/>
        <v>50</v>
      </c>
      <c r="BR285" s="150">
        <f t="shared" si="247"/>
        <v>0</v>
      </c>
      <c r="BS285" s="150">
        <f t="shared" si="248"/>
        <v>0</v>
      </c>
      <c r="BT285" s="150">
        <f t="shared" si="249"/>
        <v>12000</v>
      </c>
      <c r="BU285" s="150">
        <f t="shared" si="269"/>
        <v>0</v>
      </c>
      <c r="BV285" s="150">
        <f t="shared" si="250"/>
        <v>0</v>
      </c>
      <c r="BW285" s="150">
        <f t="shared" si="251"/>
        <v>0</v>
      </c>
      <c r="BX285" s="150">
        <f t="shared" si="252"/>
        <v>0</v>
      </c>
      <c r="BY285" s="150">
        <f t="shared" si="253"/>
        <v>0</v>
      </c>
      <c r="BZ285" s="147">
        <f t="shared" si="270"/>
        <v>920</v>
      </c>
      <c r="CA285" s="147">
        <f t="shared" si="271"/>
        <v>224520.9800000001</v>
      </c>
    </row>
    <row r="286" spans="11:79">
      <c r="K286" s="132">
        <f t="shared" si="254"/>
        <v>234</v>
      </c>
      <c r="L286" s="148">
        <f t="shared" si="204"/>
        <v>52778</v>
      </c>
      <c r="M286" s="131">
        <f t="shared" si="255"/>
        <v>0</v>
      </c>
      <c r="N286" s="131">
        <f t="shared" si="205"/>
        <v>0</v>
      </c>
      <c r="O286" s="131">
        <f t="shared" si="206"/>
        <v>0</v>
      </c>
      <c r="P286" s="131">
        <f t="shared" si="207"/>
        <v>0</v>
      </c>
      <c r="Q286" s="131">
        <f t="shared" si="208"/>
        <v>0</v>
      </c>
      <c r="R286" s="131">
        <f t="shared" si="256"/>
        <v>0</v>
      </c>
      <c r="S286" s="131">
        <f t="shared" si="209"/>
        <v>0</v>
      </c>
      <c r="T286" s="131">
        <f t="shared" si="210"/>
        <v>0</v>
      </c>
      <c r="U286" s="131">
        <f t="shared" si="211"/>
        <v>0</v>
      </c>
      <c r="V286" s="131">
        <f t="shared" si="212"/>
        <v>0</v>
      </c>
      <c r="W286" s="131">
        <f t="shared" si="257"/>
        <v>0</v>
      </c>
      <c r="X286" s="131">
        <f t="shared" si="213"/>
        <v>0</v>
      </c>
      <c r="Y286" s="131">
        <f t="shared" si="214"/>
        <v>0</v>
      </c>
      <c r="Z286" s="131">
        <f t="shared" si="215"/>
        <v>0</v>
      </c>
      <c r="AA286" s="131">
        <f t="shared" si="216"/>
        <v>0</v>
      </c>
      <c r="AB286" s="131">
        <f t="shared" si="258"/>
        <v>29973.65</v>
      </c>
      <c r="AC286" s="131">
        <f t="shared" si="217"/>
        <v>149.87</v>
      </c>
      <c r="AD286" s="131">
        <f t="shared" si="218"/>
        <v>200.13</v>
      </c>
      <c r="AE286" s="131">
        <f t="shared" si="219"/>
        <v>970</v>
      </c>
      <c r="AF286" s="131">
        <f t="shared" si="220"/>
        <v>28803.52</v>
      </c>
      <c r="AG286" s="131">
        <f t="shared" si="259"/>
        <v>0</v>
      </c>
      <c r="AH286" s="131">
        <f t="shared" si="221"/>
        <v>0</v>
      </c>
      <c r="AI286" s="131">
        <f t="shared" si="222"/>
        <v>0</v>
      </c>
      <c r="AJ286" s="131">
        <f t="shared" si="223"/>
        <v>0</v>
      </c>
      <c r="AK286" s="131">
        <f t="shared" si="224"/>
        <v>0</v>
      </c>
      <c r="AL286" s="131">
        <f t="shared" si="260"/>
        <v>0</v>
      </c>
      <c r="AM286" s="131">
        <f t="shared" si="225"/>
        <v>0</v>
      </c>
      <c r="AN286" s="131">
        <f t="shared" si="226"/>
        <v>0</v>
      </c>
      <c r="AO286" s="131">
        <f t="shared" si="227"/>
        <v>0</v>
      </c>
      <c r="AP286" s="131">
        <f t="shared" si="228"/>
        <v>0</v>
      </c>
      <c r="AQ286" s="149">
        <f t="shared" si="261"/>
        <v>970</v>
      </c>
      <c r="AR286" s="149">
        <f t="shared" si="262"/>
        <v>236279.82000000041</v>
      </c>
      <c r="AS286" s="133"/>
      <c r="AT286" s="132">
        <f t="shared" si="263"/>
        <v>234</v>
      </c>
      <c r="AU286" s="148">
        <f t="shared" si="229"/>
        <v>52778</v>
      </c>
      <c r="AV286" s="131">
        <f t="shared" si="264"/>
        <v>0</v>
      </c>
      <c r="AW286" s="131">
        <f t="shared" si="230"/>
        <v>0</v>
      </c>
      <c r="AX286" s="131">
        <f t="shared" si="231"/>
        <v>0</v>
      </c>
      <c r="AY286" s="131">
        <f t="shared" si="232"/>
        <v>0</v>
      </c>
      <c r="AZ286" s="131">
        <f t="shared" si="233"/>
        <v>0</v>
      </c>
      <c r="BA286" s="131">
        <f t="shared" si="265"/>
        <v>0</v>
      </c>
      <c r="BB286" s="131">
        <f t="shared" si="234"/>
        <v>0</v>
      </c>
      <c r="BC286" s="131">
        <f t="shared" si="235"/>
        <v>0</v>
      </c>
      <c r="BD286" s="131">
        <f t="shared" si="236"/>
        <v>0</v>
      </c>
      <c r="BE286" s="131">
        <f t="shared" si="237"/>
        <v>0</v>
      </c>
      <c r="BF286" s="131">
        <f t="shared" si="266"/>
        <v>0</v>
      </c>
      <c r="BG286" s="131">
        <f t="shared" si="238"/>
        <v>0</v>
      </c>
      <c r="BH286" s="131">
        <f t="shared" si="239"/>
        <v>0</v>
      </c>
      <c r="BI286" s="131">
        <f t="shared" si="240"/>
        <v>0</v>
      </c>
      <c r="BJ286" s="131">
        <f t="shared" si="241"/>
        <v>0</v>
      </c>
      <c r="BK286" s="131">
        <f t="shared" si="267"/>
        <v>24747.87</v>
      </c>
      <c r="BL286" s="131">
        <f t="shared" si="242"/>
        <v>123.74</v>
      </c>
      <c r="BM286" s="131">
        <f t="shared" si="243"/>
        <v>226.26</v>
      </c>
      <c r="BN286" s="131">
        <f t="shared" si="244"/>
        <v>920</v>
      </c>
      <c r="BO286" s="131">
        <f t="shared" si="245"/>
        <v>23601.61</v>
      </c>
      <c r="BP286" s="131">
        <f t="shared" si="268"/>
        <v>12000</v>
      </c>
      <c r="BQ286" s="131">
        <f t="shared" si="246"/>
        <v>50</v>
      </c>
      <c r="BR286" s="131">
        <f t="shared" si="247"/>
        <v>0</v>
      </c>
      <c r="BS286" s="131">
        <f t="shared" si="248"/>
        <v>0</v>
      </c>
      <c r="BT286" s="131">
        <f t="shared" si="249"/>
        <v>12000</v>
      </c>
      <c r="BU286" s="131">
        <f t="shared" si="269"/>
        <v>0</v>
      </c>
      <c r="BV286" s="131">
        <f t="shared" si="250"/>
        <v>0</v>
      </c>
      <c r="BW286" s="131">
        <f t="shared" si="251"/>
        <v>0</v>
      </c>
      <c r="BX286" s="131">
        <f t="shared" si="252"/>
        <v>0</v>
      </c>
      <c r="BY286" s="131">
        <f t="shared" si="253"/>
        <v>0</v>
      </c>
      <c r="BZ286" s="147">
        <f t="shared" si="270"/>
        <v>920</v>
      </c>
      <c r="CA286" s="147">
        <f t="shared" si="271"/>
        <v>224694.72000000009</v>
      </c>
    </row>
    <row r="287" spans="11:79">
      <c r="K287" s="152">
        <f t="shared" si="254"/>
        <v>235</v>
      </c>
      <c r="L287" s="151">
        <f t="shared" si="204"/>
        <v>52809</v>
      </c>
      <c r="M287" s="150">
        <f t="shared" si="255"/>
        <v>0</v>
      </c>
      <c r="N287" s="150">
        <f t="shared" si="205"/>
        <v>0</v>
      </c>
      <c r="O287" s="150">
        <f t="shared" si="206"/>
        <v>0</v>
      </c>
      <c r="P287" s="150">
        <f t="shared" si="207"/>
        <v>0</v>
      </c>
      <c r="Q287" s="150">
        <f t="shared" si="208"/>
        <v>0</v>
      </c>
      <c r="R287" s="150">
        <f t="shared" si="256"/>
        <v>0</v>
      </c>
      <c r="S287" s="150">
        <f t="shared" si="209"/>
        <v>0</v>
      </c>
      <c r="T287" s="150">
        <f t="shared" si="210"/>
        <v>0</v>
      </c>
      <c r="U287" s="150">
        <f t="shared" si="211"/>
        <v>0</v>
      </c>
      <c r="V287" s="150">
        <f t="shared" si="212"/>
        <v>0</v>
      </c>
      <c r="W287" s="150">
        <f t="shared" si="257"/>
        <v>0</v>
      </c>
      <c r="X287" s="150">
        <f t="shared" si="213"/>
        <v>0</v>
      </c>
      <c r="Y287" s="150">
        <f t="shared" si="214"/>
        <v>0</v>
      </c>
      <c r="Z287" s="150">
        <f t="shared" si="215"/>
        <v>0</v>
      </c>
      <c r="AA287" s="150">
        <f t="shared" si="216"/>
        <v>0</v>
      </c>
      <c r="AB287" s="150">
        <f t="shared" si="258"/>
        <v>28803.52</v>
      </c>
      <c r="AC287" s="150">
        <f t="shared" si="217"/>
        <v>144.02000000000001</v>
      </c>
      <c r="AD287" s="150">
        <f t="shared" si="218"/>
        <v>205.98</v>
      </c>
      <c r="AE287" s="150">
        <f t="shared" si="219"/>
        <v>970</v>
      </c>
      <c r="AF287" s="150">
        <f t="shared" si="220"/>
        <v>27627.54</v>
      </c>
      <c r="AG287" s="150">
        <f t="shared" si="259"/>
        <v>0</v>
      </c>
      <c r="AH287" s="150">
        <f t="shared" si="221"/>
        <v>0</v>
      </c>
      <c r="AI287" s="150">
        <f t="shared" si="222"/>
        <v>0</v>
      </c>
      <c r="AJ287" s="150">
        <f t="shared" si="223"/>
        <v>0</v>
      </c>
      <c r="AK287" s="150">
        <f t="shared" si="224"/>
        <v>0</v>
      </c>
      <c r="AL287" s="150">
        <f t="shared" si="260"/>
        <v>0</v>
      </c>
      <c r="AM287" s="150">
        <f t="shared" si="225"/>
        <v>0</v>
      </c>
      <c r="AN287" s="150">
        <f t="shared" si="226"/>
        <v>0</v>
      </c>
      <c r="AO287" s="150">
        <f t="shared" si="227"/>
        <v>0</v>
      </c>
      <c r="AP287" s="150">
        <f t="shared" si="228"/>
        <v>0</v>
      </c>
      <c r="AQ287" s="149">
        <f t="shared" si="261"/>
        <v>970</v>
      </c>
      <c r="AR287" s="149">
        <f t="shared" si="262"/>
        <v>236423.8400000004</v>
      </c>
      <c r="AS287" s="133"/>
      <c r="AT287" s="152">
        <f t="shared" si="263"/>
        <v>235</v>
      </c>
      <c r="AU287" s="151">
        <f t="shared" si="229"/>
        <v>52809</v>
      </c>
      <c r="AV287" s="150">
        <f t="shared" si="264"/>
        <v>0</v>
      </c>
      <c r="AW287" s="150">
        <f t="shared" si="230"/>
        <v>0</v>
      </c>
      <c r="AX287" s="150">
        <f t="shared" si="231"/>
        <v>0</v>
      </c>
      <c r="AY287" s="150">
        <f t="shared" si="232"/>
        <v>0</v>
      </c>
      <c r="AZ287" s="150">
        <f t="shared" si="233"/>
        <v>0</v>
      </c>
      <c r="BA287" s="150">
        <f t="shared" si="265"/>
        <v>0</v>
      </c>
      <c r="BB287" s="150">
        <f t="shared" si="234"/>
        <v>0</v>
      </c>
      <c r="BC287" s="150">
        <f t="shared" si="235"/>
        <v>0</v>
      </c>
      <c r="BD287" s="150">
        <f t="shared" si="236"/>
        <v>0</v>
      </c>
      <c r="BE287" s="150">
        <f t="shared" si="237"/>
        <v>0</v>
      </c>
      <c r="BF287" s="150">
        <f t="shared" si="266"/>
        <v>0</v>
      </c>
      <c r="BG287" s="150">
        <f t="shared" si="238"/>
        <v>0</v>
      </c>
      <c r="BH287" s="150">
        <f t="shared" si="239"/>
        <v>0</v>
      </c>
      <c r="BI287" s="150">
        <f t="shared" si="240"/>
        <v>0</v>
      </c>
      <c r="BJ287" s="150">
        <f t="shared" si="241"/>
        <v>0</v>
      </c>
      <c r="BK287" s="150">
        <f t="shared" si="267"/>
        <v>23601.61</v>
      </c>
      <c r="BL287" s="150">
        <f t="shared" si="242"/>
        <v>118.01</v>
      </c>
      <c r="BM287" s="150">
        <f t="shared" si="243"/>
        <v>231.99</v>
      </c>
      <c r="BN287" s="150">
        <f t="shared" si="244"/>
        <v>920</v>
      </c>
      <c r="BO287" s="150">
        <f t="shared" si="245"/>
        <v>22449.62</v>
      </c>
      <c r="BP287" s="150">
        <f t="shared" si="268"/>
        <v>12000</v>
      </c>
      <c r="BQ287" s="150">
        <f t="shared" si="246"/>
        <v>50</v>
      </c>
      <c r="BR287" s="150">
        <f t="shared" si="247"/>
        <v>0</v>
      </c>
      <c r="BS287" s="150">
        <f t="shared" si="248"/>
        <v>0</v>
      </c>
      <c r="BT287" s="150">
        <f t="shared" si="249"/>
        <v>12000</v>
      </c>
      <c r="BU287" s="150">
        <f t="shared" si="269"/>
        <v>0</v>
      </c>
      <c r="BV287" s="150">
        <f t="shared" si="250"/>
        <v>0</v>
      </c>
      <c r="BW287" s="150">
        <f t="shared" si="251"/>
        <v>0</v>
      </c>
      <c r="BX287" s="150">
        <f t="shared" si="252"/>
        <v>0</v>
      </c>
      <c r="BY287" s="150">
        <f t="shared" si="253"/>
        <v>0</v>
      </c>
      <c r="BZ287" s="147">
        <f t="shared" si="270"/>
        <v>920</v>
      </c>
      <c r="CA287" s="147">
        <f t="shared" si="271"/>
        <v>224862.7300000001</v>
      </c>
    </row>
    <row r="288" spans="11:79">
      <c r="K288" s="132">
        <f t="shared" si="254"/>
        <v>236</v>
      </c>
      <c r="L288" s="148">
        <f t="shared" si="204"/>
        <v>52840</v>
      </c>
      <c r="M288" s="131">
        <f t="shared" si="255"/>
        <v>0</v>
      </c>
      <c r="N288" s="131">
        <f t="shared" si="205"/>
        <v>0</v>
      </c>
      <c r="O288" s="131">
        <f t="shared" si="206"/>
        <v>0</v>
      </c>
      <c r="P288" s="131">
        <f t="shared" si="207"/>
        <v>0</v>
      </c>
      <c r="Q288" s="131">
        <f t="shared" si="208"/>
        <v>0</v>
      </c>
      <c r="R288" s="131">
        <f t="shared" si="256"/>
        <v>0</v>
      </c>
      <c r="S288" s="131">
        <f t="shared" si="209"/>
        <v>0</v>
      </c>
      <c r="T288" s="131">
        <f t="shared" si="210"/>
        <v>0</v>
      </c>
      <c r="U288" s="131">
        <f t="shared" si="211"/>
        <v>0</v>
      </c>
      <c r="V288" s="131">
        <f t="shared" si="212"/>
        <v>0</v>
      </c>
      <c r="W288" s="131">
        <f t="shared" si="257"/>
        <v>0</v>
      </c>
      <c r="X288" s="131">
        <f t="shared" si="213"/>
        <v>0</v>
      </c>
      <c r="Y288" s="131">
        <f t="shared" si="214"/>
        <v>0</v>
      </c>
      <c r="Z288" s="131">
        <f t="shared" si="215"/>
        <v>0</v>
      </c>
      <c r="AA288" s="131">
        <f t="shared" si="216"/>
        <v>0</v>
      </c>
      <c r="AB288" s="131">
        <f t="shared" si="258"/>
        <v>27627.54</v>
      </c>
      <c r="AC288" s="131">
        <f t="shared" si="217"/>
        <v>138.13999999999999</v>
      </c>
      <c r="AD288" s="131">
        <f t="shared" si="218"/>
        <v>211.86</v>
      </c>
      <c r="AE288" s="131">
        <f t="shared" si="219"/>
        <v>970</v>
      </c>
      <c r="AF288" s="131">
        <f t="shared" si="220"/>
        <v>26445.68</v>
      </c>
      <c r="AG288" s="131">
        <f t="shared" si="259"/>
        <v>0</v>
      </c>
      <c r="AH288" s="131">
        <f t="shared" si="221"/>
        <v>0</v>
      </c>
      <c r="AI288" s="131">
        <f t="shared" si="222"/>
        <v>0</v>
      </c>
      <c r="AJ288" s="131">
        <f t="shared" si="223"/>
        <v>0</v>
      </c>
      <c r="AK288" s="131">
        <f t="shared" si="224"/>
        <v>0</v>
      </c>
      <c r="AL288" s="131">
        <f t="shared" si="260"/>
        <v>0</v>
      </c>
      <c r="AM288" s="131">
        <f t="shared" si="225"/>
        <v>0</v>
      </c>
      <c r="AN288" s="131">
        <f t="shared" si="226"/>
        <v>0</v>
      </c>
      <c r="AO288" s="131">
        <f t="shared" si="227"/>
        <v>0</v>
      </c>
      <c r="AP288" s="131">
        <f t="shared" si="228"/>
        <v>0</v>
      </c>
      <c r="AQ288" s="149">
        <f t="shared" si="261"/>
        <v>970</v>
      </c>
      <c r="AR288" s="149">
        <f t="shared" si="262"/>
        <v>236561.98000000042</v>
      </c>
      <c r="AS288" s="133"/>
      <c r="AT288" s="132">
        <f t="shared" si="263"/>
        <v>236</v>
      </c>
      <c r="AU288" s="148">
        <f t="shared" si="229"/>
        <v>52840</v>
      </c>
      <c r="AV288" s="131">
        <f t="shared" si="264"/>
        <v>0</v>
      </c>
      <c r="AW288" s="131">
        <f t="shared" si="230"/>
        <v>0</v>
      </c>
      <c r="AX288" s="131">
        <f t="shared" si="231"/>
        <v>0</v>
      </c>
      <c r="AY288" s="131">
        <f t="shared" si="232"/>
        <v>0</v>
      </c>
      <c r="AZ288" s="131">
        <f t="shared" si="233"/>
        <v>0</v>
      </c>
      <c r="BA288" s="131">
        <f t="shared" si="265"/>
        <v>0</v>
      </c>
      <c r="BB288" s="131">
        <f t="shared" si="234"/>
        <v>0</v>
      </c>
      <c r="BC288" s="131">
        <f t="shared" si="235"/>
        <v>0</v>
      </c>
      <c r="BD288" s="131">
        <f t="shared" si="236"/>
        <v>0</v>
      </c>
      <c r="BE288" s="131">
        <f t="shared" si="237"/>
        <v>0</v>
      </c>
      <c r="BF288" s="131">
        <f t="shared" si="266"/>
        <v>0</v>
      </c>
      <c r="BG288" s="131">
        <f t="shared" si="238"/>
        <v>0</v>
      </c>
      <c r="BH288" s="131">
        <f t="shared" si="239"/>
        <v>0</v>
      </c>
      <c r="BI288" s="131">
        <f t="shared" si="240"/>
        <v>0</v>
      </c>
      <c r="BJ288" s="131">
        <f t="shared" si="241"/>
        <v>0</v>
      </c>
      <c r="BK288" s="131">
        <f t="shared" si="267"/>
        <v>22449.62</v>
      </c>
      <c r="BL288" s="131">
        <f t="shared" si="242"/>
        <v>112.25</v>
      </c>
      <c r="BM288" s="131">
        <f t="shared" si="243"/>
        <v>237.75</v>
      </c>
      <c r="BN288" s="131">
        <f t="shared" si="244"/>
        <v>920</v>
      </c>
      <c r="BO288" s="131">
        <f t="shared" si="245"/>
        <v>21291.87</v>
      </c>
      <c r="BP288" s="131">
        <f t="shared" si="268"/>
        <v>12000</v>
      </c>
      <c r="BQ288" s="131">
        <f t="shared" si="246"/>
        <v>50</v>
      </c>
      <c r="BR288" s="131">
        <f t="shared" si="247"/>
        <v>0</v>
      </c>
      <c r="BS288" s="131">
        <f t="shared" si="248"/>
        <v>0</v>
      </c>
      <c r="BT288" s="131">
        <f t="shared" si="249"/>
        <v>12000</v>
      </c>
      <c r="BU288" s="131">
        <f t="shared" si="269"/>
        <v>0</v>
      </c>
      <c r="BV288" s="131">
        <f t="shared" si="250"/>
        <v>0</v>
      </c>
      <c r="BW288" s="131">
        <f t="shared" si="251"/>
        <v>0</v>
      </c>
      <c r="BX288" s="131">
        <f t="shared" si="252"/>
        <v>0</v>
      </c>
      <c r="BY288" s="131">
        <f t="shared" si="253"/>
        <v>0</v>
      </c>
      <c r="BZ288" s="147">
        <f t="shared" si="270"/>
        <v>920</v>
      </c>
      <c r="CA288" s="147">
        <f t="shared" si="271"/>
        <v>225024.9800000001</v>
      </c>
    </row>
    <row r="289" spans="11:79">
      <c r="K289" s="152">
        <f t="shared" si="254"/>
        <v>237</v>
      </c>
      <c r="L289" s="151">
        <f t="shared" si="204"/>
        <v>52870</v>
      </c>
      <c r="M289" s="150">
        <f t="shared" si="255"/>
        <v>0</v>
      </c>
      <c r="N289" s="150">
        <f t="shared" si="205"/>
        <v>0</v>
      </c>
      <c r="O289" s="150">
        <f t="shared" si="206"/>
        <v>0</v>
      </c>
      <c r="P289" s="150">
        <f t="shared" si="207"/>
        <v>0</v>
      </c>
      <c r="Q289" s="150">
        <f t="shared" si="208"/>
        <v>0</v>
      </c>
      <c r="R289" s="150">
        <f t="shared" si="256"/>
        <v>0</v>
      </c>
      <c r="S289" s="150">
        <f t="shared" si="209"/>
        <v>0</v>
      </c>
      <c r="T289" s="150">
        <f t="shared" si="210"/>
        <v>0</v>
      </c>
      <c r="U289" s="150">
        <f t="shared" si="211"/>
        <v>0</v>
      </c>
      <c r="V289" s="150">
        <f t="shared" si="212"/>
        <v>0</v>
      </c>
      <c r="W289" s="150">
        <f t="shared" si="257"/>
        <v>0</v>
      </c>
      <c r="X289" s="150">
        <f t="shared" si="213"/>
        <v>0</v>
      </c>
      <c r="Y289" s="150">
        <f t="shared" si="214"/>
        <v>0</v>
      </c>
      <c r="Z289" s="150">
        <f t="shared" si="215"/>
        <v>0</v>
      </c>
      <c r="AA289" s="150">
        <f t="shared" si="216"/>
        <v>0</v>
      </c>
      <c r="AB289" s="150">
        <f t="shared" si="258"/>
        <v>26445.68</v>
      </c>
      <c r="AC289" s="150">
        <f t="shared" si="217"/>
        <v>132.22999999999999</v>
      </c>
      <c r="AD289" s="150">
        <f t="shared" si="218"/>
        <v>217.77</v>
      </c>
      <c r="AE289" s="150">
        <f t="shared" si="219"/>
        <v>970</v>
      </c>
      <c r="AF289" s="150">
        <f t="shared" si="220"/>
        <v>25257.91</v>
      </c>
      <c r="AG289" s="150">
        <f t="shared" si="259"/>
        <v>0</v>
      </c>
      <c r="AH289" s="150">
        <f t="shared" si="221"/>
        <v>0</v>
      </c>
      <c r="AI289" s="150">
        <f t="shared" si="222"/>
        <v>0</v>
      </c>
      <c r="AJ289" s="150">
        <f t="shared" si="223"/>
        <v>0</v>
      </c>
      <c r="AK289" s="150">
        <f t="shared" si="224"/>
        <v>0</v>
      </c>
      <c r="AL289" s="150">
        <f t="shared" si="260"/>
        <v>0</v>
      </c>
      <c r="AM289" s="150">
        <f t="shared" si="225"/>
        <v>0</v>
      </c>
      <c r="AN289" s="150">
        <f t="shared" si="226"/>
        <v>0</v>
      </c>
      <c r="AO289" s="150">
        <f t="shared" si="227"/>
        <v>0</v>
      </c>
      <c r="AP289" s="150">
        <f t="shared" si="228"/>
        <v>0</v>
      </c>
      <c r="AQ289" s="149">
        <f t="shared" si="261"/>
        <v>970</v>
      </c>
      <c r="AR289" s="149">
        <f t="shared" si="262"/>
        <v>236694.21000000043</v>
      </c>
      <c r="AS289" s="133"/>
      <c r="AT289" s="152">
        <f t="shared" si="263"/>
        <v>237</v>
      </c>
      <c r="AU289" s="151">
        <f t="shared" si="229"/>
        <v>52870</v>
      </c>
      <c r="AV289" s="150">
        <f t="shared" si="264"/>
        <v>0</v>
      </c>
      <c r="AW289" s="150">
        <f t="shared" si="230"/>
        <v>0</v>
      </c>
      <c r="AX289" s="150">
        <f t="shared" si="231"/>
        <v>0</v>
      </c>
      <c r="AY289" s="150">
        <f t="shared" si="232"/>
        <v>0</v>
      </c>
      <c r="AZ289" s="150">
        <f t="shared" si="233"/>
        <v>0</v>
      </c>
      <c r="BA289" s="150">
        <f t="shared" si="265"/>
        <v>0</v>
      </c>
      <c r="BB289" s="150">
        <f t="shared" si="234"/>
        <v>0</v>
      </c>
      <c r="BC289" s="150">
        <f t="shared" si="235"/>
        <v>0</v>
      </c>
      <c r="BD289" s="150">
        <f t="shared" si="236"/>
        <v>0</v>
      </c>
      <c r="BE289" s="150">
        <f t="shared" si="237"/>
        <v>0</v>
      </c>
      <c r="BF289" s="150">
        <f t="shared" si="266"/>
        <v>0</v>
      </c>
      <c r="BG289" s="150">
        <f t="shared" si="238"/>
        <v>0</v>
      </c>
      <c r="BH289" s="150">
        <f t="shared" si="239"/>
        <v>0</v>
      </c>
      <c r="BI289" s="150">
        <f t="shared" si="240"/>
        <v>0</v>
      </c>
      <c r="BJ289" s="150">
        <f t="shared" si="241"/>
        <v>0</v>
      </c>
      <c r="BK289" s="150">
        <f t="shared" si="267"/>
        <v>21291.87</v>
      </c>
      <c r="BL289" s="150">
        <f t="shared" si="242"/>
        <v>106.46</v>
      </c>
      <c r="BM289" s="150">
        <f t="shared" si="243"/>
        <v>243.54000000000002</v>
      </c>
      <c r="BN289" s="150">
        <f t="shared" si="244"/>
        <v>920</v>
      </c>
      <c r="BO289" s="150">
        <f t="shared" si="245"/>
        <v>20128.330000000002</v>
      </c>
      <c r="BP289" s="150">
        <f t="shared" si="268"/>
        <v>12000</v>
      </c>
      <c r="BQ289" s="150">
        <f t="shared" si="246"/>
        <v>50</v>
      </c>
      <c r="BR289" s="150">
        <f t="shared" si="247"/>
        <v>0</v>
      </c>
      <c r="BS289" s="150">
        <f t="shared" si="248"/>
        <v>0</v>
      </c>
      <c r="BT289" s="150">
        <f t="shared" si="249"/>
        <v>12000</v>
      </c>
      <c r="BU289" s="150">
        <f t="shared" si="269"/>
        <v>0</v>
      </c>
      <c r="BV289" s="150">
        <f t="shared" si="250"/>
        <v>0</v>
      </c>
      <c r="BW289" s="150">
        <f t="shared" si="251"/>
        <v>0</v>
      </c>
      <c r="BX289" s="150">
        <f t="shared" si="252"/>
        <v>0</v>
      </c>
      <c r="BY289" s="150">
        <f t="shared" si="253"/>
        <v>0</v>
      </c>
      <c r="BZ289" s="147">
        <f t="shared" si="270"/>
        <v>920</v>
      </c>
      <c r="CA289" s="147">
        <f t="shared" si="271"/>
        <v>225181.44000000009</v>
      </c>
    </row>
    <row r="290" spans="11:79">
      <c r="K290" s="132">
        <f t="shared" si="254"/>
        <v>238</v>
      </c>
      <c r="L290" s="148">
        <f t="shared" si="204"/>
        <v>52901</v>
      </c>
      <c r="M290" s="131">
        <f t="shared" si="255"/>
        <v>0</v>
      </c>
      <c r="N290" s="131">
        <f t="shared" si="205"/>
        <v>0</v>
      </c>
      <c r="O290" s="131">
        <f t="shared" si="206"/>
        <v>0</v>
      </c>
      <c r="P290" s="131">
        <f t="shared" si="207"/>
        <v>0</v>
      </c>
      <c r="Q290" s="131">
        <f t="shared" si="208"/>
        <v>0</v>
      </c>
      <c r="R290" s="131">
        <f t="shared" si="256"/>
        <v>0</v>
      </c>
      <c r="S290" s="131">
        <f t="shared" si="209"/>
        <v>0</v>
      </c>
      <c r="T290" s="131">
        <f t="shared" si="210"/>
        <v>0</v>
      </c>
      <c r="U290" s="131">
        <f t="shared" si="211"/>
        <v>0</v>
      </c>
      <c r="V290" s="131">
        <f t="shared" si="212"/>
        <v>0</v>
      </c>
      <c r="W290" s="131">
        <f t="shared" si="257"/>
        <v>0</v>
      </c>
      <c r="X290" s="131">
        <f t="shared" si="213"/>
        <v>0</v>
      </c>
      <c r="Y290" s="131">
        <f t="shared" si="214"/>
        <v>0</v>
      </c>
      <c r="Z290" s="131">
        <f t="shared" si="215"/>
        <v>0</v>
      </c>
      <c r="AA290" s="131">
        <f t="shared" si="216"/>
        <v>0</v>
      </c>
      <c r="AB290" s="131">
        <f t="shared" si="258"/>
        <v>25257.91</v>
      </c>
      <c r="AC290" s="131">
        <f t="shared" si="217"/>
        <v>126.29</v>
      </c>
      <c r="AD290" s="131">
        <f t="shared" si="218"/>
        <v>223.70999999999998</v>
      </c>
      <c r="AE290" s="131">
        <f t="shared" si="219"/>
        <v>970</v>
      </c>
      <c r="AF290" s="131">
        <f t="shared" si="220"/>
        <v>24064.2</v>
      </c>
      <c r="AG290" s="131">
        <f t="shared" si="259"/>
        <v>0</v>
      </c>
      <c r="AH290" s="131">
        <f t="shared" si="221"/>
        <v>0</v>
      </c>
      <c r="AI290" s="131">
        <f t="shared" si="222"/>
        <v>0</v>
      </c>
      <c r="AJ290" s="131">
        <f t="shared" si="223"/>
        <v>0</v>
      </c>
      <c r="AK290" s="131">
        <f t="shared" si="224"/>
        <v>0</v>
      </c>
      <c r="AL290" s="131">
        <f t="shared" si="260"/>
        <v>0</v>
      </c>
      <c r="AM290" s="131">
        <f t="shared" si="225"/>
        <v>0</v>
      </c>
      <c r="AN290" s="131">
        <f t="shared" si="226"/>
        <v>0</v>
      </c>
      <c r="AO290" s="131">
        <f t="shared" si="227"/>
        <v>0</v>
      </c>
      <c r="AP290" s="131">
        <f t="shared" si="228"/>
        <v>0</v>
      </c>
      <c r="AQ290" s="149">
        <f t="shared" si="261"/>
        <v>970</v>
      </c>
      <c r="AR290" s="149">
        <f t="shared" si="262"/>
        <v>236820.50000000044</v>
      </c>
      <c r="AS290" s="133"/>
      <c r="AT290" s="132">
        <f t="shared" si="263"/>
        <v>238</v>
      </c>
      <c r="AU290" s="148">
        <f t="shared" si="229"/>
        <v>52901</v>
      </c>
      <c r="AV290" s="131">
        <f t="shared" si="264"/>
        <v>0</v>
      </c>
      <c r="AW290" s="131">
        <f t="shared" si="230"/>
        <v>0</v>
      </c>
      <c r="AX290" s="131">
        <f t="shared" si="231"/>
        <v>0</v>
      </c>
      <c r="AY290" s="131">
        <f t="shared" si="232"/>
        <v>0</v>
      </c>
      <c r="AZ290" s="131">
        <f t="shared" si="233"/>
        <v>0</v>
      </c>
      <c r="BA290" s="131">
        <f t="shared" si="265"/>
        <v>0</v>
      </c>
      <c r="BB290" s="131">
        <f t="shared" si="234"/>
        <v>0</v>
      </c>
      <c r="BC290" s="131">
        <f t="shared" si="235"/>
        <v>0</v>
      </c>
      <c r="BD290" s="131">
        <f t="shared" si="236"/>
        <v>0</v>
      </c>
      <c r="BE290" s="131">
        <f t="shared" si="237"/>
        <v>0</v>
      </c>
      <c r="BF290" s="131">
        <f t="shared" si="266"/>
        <v>0</v>
      </c>
      <c r="BG290" s="131">
        <f t="shared" si="238"/>
        <v>0</v>
      </c>
      <c r="BH290" s="131">
        <f t="shared" si="239"/>
        <v>0</v>
      </c>
      <c r="BI290" s="131">
        <f t="shared" si="240"/>
        <v>0</v>
      </c>
      <c r="BJ290" s="131">
        <f t="shared" si="241"/>
        <v>0</v>
      </c>
      <c r="BK290" s="131">
        <f t="shared" si="267"/>
        <v>20128.330000000002</v>
      </c>
      <c r="BL290" s="131">
        <f t="shared" si="242"/>
        <v>100.64</v>
      </c>
      <c r="BM290" s="131">
        <f t="shared" si="243"/>
        <v>249.36</v>
      </c>
      <c r="BN290" s="131">
        <f t="shared" si="244"/>
        <v>920</v>
      </c>
      <c r="BO290" s="131">
        <f t="shared" si="245"/>
        <v>18958.97</v>
      </c>
      <c r="BP290" s="131">
        <f t="shared" si="268"/>
        <v>12000</v>
      </c>
      <c r="BQ290" s="131">
        <f t="shared" si="246"/>
        <v>50</v>
      </c>
      <c r="BR290" s="131">
        <f t="shared" si="247"/>
        <v>0</v>
      </c>
      <c r="BS290" s="131">
        <f t="shared" si="248"/>
        <v>0</v>
      </c>
      <c r="BT290" s="131">
        <f t="shared" si="249"/>
        <v>12000</v>
      </c>
      <c r="BU290" s="131">
        <f t="shared" si="269"/>
        <v>0</v>
      </c>
      <c r="BV290" s="131">
        <f t="shared" si="250"/>
        <v>0</v>
      </c>
      <c r="BW290" s="131">
        <f t="shared" si="251"/>
        <v>0</v>
      </c>
      <c r="BX290" s="131">
        <f t="shared" si="252"/>
        <v>0</v>
      </c>
      <c r="BY290" s="131">
        <f t="shared" si="253"/>
        <v>0</v>
      </c>
      <c r="BZ290" s="147">
        <f t="shared" si="270"/>
        <v>920</v>
      </c>
      <c r="CA290" s="147">
        <f t="shared" si="271"/>
        <v>225332.0800000001</v>
      </c>
    </row>
    <row r="291" spans="11:79">
      <c r="K291" s="152">
        <f t="shared" si="254"/>
        <v>239</v>
      </c>
      <c r="L291" s="151">
        <f t="shared" si="204"/>
        <v>52931</v>
      </c>
      <c r="M291" s="150">
        <f t="shared" si="255"/>
        <v>0</v>
      </c>
      <c r="N291" s="150">
        <f t="shared" si="205"/>
        <v>0</v>
      </c>
      <c r="O291" s="150">
        <f t="shared" si="206"/>
        <v>0</v>
      </c>
      <c r="P291" s="150">
        <f t="shared" si="207"/>
        <v>0</v>
      </c>
      <c r="Q291" s="150">
        <f t="shared" si="208"/>
        <v>0</v>
      </c>
      <c r="R291" s="150">
        <f t="shared" si="256"/>
        <v>0</v>
      </c>
      <c r="S291" s="150">
        <f t="shared" si="209"/>
        <v>0</v>
      </c>
      <c r="T291" s="150">
        <f t="shared" si="210"/>
        <v>0</v>
      </c>
      <c r="U291" s="150">
        <f t="shared" si="211"/>
        <v>0</v>
      </c>
      <c r="V291" s="150">
        <f t="shared" si="212"/>
        <v>0</v>
      </c>
      <c r="W291" s="150">
        <f t="shared" si="257"/>
        <v>0</v>
      </c>
      <c r="X291" s="150">
        <f t="shared" si="213"/>
        <v>0</v>
      </c>
      <c r="Y291" s="150">
        <f t="shared" si="214"/>
        <v>0</v>
      </c>
      <c r="Z291" s="150">
        <f t="shared" si="215"/>
        <v>0</v>
      </c>
      <c r="AA291" s="150">
        <f t="shared" si="216"/>
        <v>0</v>
      </c>
      <c r="AB291" s="150">
        <f t="shared" si="258"/>
        <v>24064.2</v>
      </c>
      <c r="AC291" s="150">
        <f t="shared" si="217"/>
        <v>120.32</v>
      </c>
      <c r="AD291" s="150">
        <f t="shared" si="218"/>
        <v>229.68</v>
      </c>
      <c r="AE291" s="150">
        <f t="shared" si="219"/>
        <v>970</v>
      </c>
      <c r="AF291" s="150">
        <f t="shared" si="220"/>
        <v>22864.52</v>
      </c>
      <c r="AG291" s="150">
        <f t="shared" si="259"/>
        <v>0</v>
      </c>
      <c r="AH291" s="150">
        <f t="shared" si="221"/>
        <v>0</v>
      </c>
      <c r="AI291" s="150">
        <f t="shared" si="222"/>
        <v>0</v>
      </c>
      <c r="AJ291" s="150">
        <f t="shared" si="223"/>
        <v>0</v>
      </c>
      <c r="AK291" s="150">
        <f t="shared" si="224"/>
        <v>0</v>
      </c>
      <c r="AL291" s="150">
        <f t="shared" si="260"/>
        <v>0</v>
      </c>
      <c r="AM291" s="150">
        <f t="shared" si="225"/>
        <v>0</v>
      </c>
      <c r="AN291" s="150">
        <f t="shared" si="226"/>
        <v>0</v>
      </c>
      <c r="AO291" s="150">
        <f t="shared" si="227"/>
        <v>0</v>
      </c>
      <c r="AP291" s="150">
        <f t="shared" si="228"/>
        <v>0</v>
      </c>
      <c r="AQ291" s="149">
        <f t="shared" si="261"/>
        <v>970</v>
      </c>
      <c r="AR291" s="149">
        <f t="shared" si="262"/>
        <v>236940.82000000044</v>
      </c>
      <c r="AS291" s="133"/>
      <c r="AT291" s="152">
        <f t="shared" si="263"/>
        <v>239</v>
      </c>
      <c r="AU291" s="151">
        <f t="shared" si="229"/>
        <v>52931</v>
      </c>
      <c r="AV291" s="150">
        <f t="shared" si="264"/>
        <v>0</v>
      </c>
      <c r="AW291" s="150">
        <f t="shared" si="230"/>
        <v>0</v>
      </c>
      <c r="AX291" s="150">
        <f t="shared" si="231"/>
        <v>0</v>
      </c>
      <c r="AY291" s="150">
        <f t="shared" si="232"/>
        <v>0</v>
      </c>
      <c r="AZ291" s="150">
        <f t="shared" si="233"/>
        <v>0</v>
      </c>
      <c r="BA291" s="150">
        <f t="shared" si="265"/>
        <v>0</v>
      </c>
      <c r="BB291" s="150">
        <f t="shared" si="234"/>
        <v>0</v>
      </c>
      <c r="BC291" s="150">
        <f t="shared" si="235"/>
        <v>0</v>
      </c>
      <c r="BD291" s="150">
        <f t="shared" si="236"/>
        <v>0</v>
      </c>
      <c r="BE291" s="150">
        <f t="shared" si="237"/>
        <v>0</v>
      </c>
      <c r="BF291" s="150">
        <f t="shared" si="266"/>
        <v>0</v>
      </c>
      <c r="BG291" s="150">
        <f t="shared" si="238"/>
        <v>0</v>
      </c>
      <c r="BH291" s="150">
        <f t="shared" si="239"/>
        <v>0</v>
      </c>
      <c r="BI291" s="150">
        <f t="shared" si="240"/>
        <v>0</v>
      </c>
      <c r="BJ291" s="150">
        <f t="shared" si="241"/>
        <v>0</v>
      </c>
      <c r="BK291" s="150">
        <f t="shared" si="267"/>
        <v>18958.97</v>
      </c>
      <c r="BL291" s="150">
        <f t="shared" si="242"/>
        <v>94.79</v>
      </c>
      <c r="BM291" s="150">
        <f t="shared" si="243"/>
        <v>255.20999999999998</v>
      </c>
      <c r="BN291" s="150">
        <f t="shared" si="244"/>
        <v>920</v>
      </c>
      <c r="BO291" s="150">
        <f t="shared" si="245"/>
        <v>17783.759999999998</v>
      </c>
      <c r="BP291" s="150">
        <f t="shared" si="268"/>
        <v>12000</v>
      </c>
      <c r="BQ291" s="150">
        <f t="shared" si="246"/>
        <v>50</v>
      </c>
      <c r="BR291" s="150">
        <f t="shared" si="247"/>
        <v>0</v>
      </c>
      <c r="BS291" s="150">
        <f t="shared" si="248"/>
        <v>0</v>
      </c>
      <c r="BT291" s="150">
        <f t="shared" si="249"/>
        <v>12000</v>
      </c>
      <c r="BU291" s="150">
        <f t="shared" si="269"/>
        <v>0</v>
      </c>
      <c r="BV291" s="150">
        <f t="shared" si="250"/>
        <v>0</v>
      </c>
      <c r="BW291" s="150">
        <f t="shared" si="251"/>
        <v>0</v>
      </c>
      <c r="BX291" s="150">
        <f t="shared" si="252"/>
        <v>0</v>
      </c>
      <c r="BY291" s="150">
        <f t="shared" si="253"/>
        <v>0</v>
      </c>
      <c r="BZ291" s="147">
        <f t="shared" si="270"/>
        <v>920</v>
      </c>
      <c r="CA291" s="147">
        <f t="shared" si="271"/>
        <v>225476.87000000011</v>
      </c>
    </row>
    <row r="292" spans="11:79">
      <c r="K292" s="132">
        <f t="shared" si="254"/>
        <v>240</v>
      </c>
      <c r="L292" s="148">
        <f t="shared" si="204"/>
        <v>52962</v>
      </c>
      <c r="M292" s="131">
        <f t="shared" si="255"/>
        <v>0</v>
      </c>
      <c r="N292" s="131">
        <f t="shared" si="205"/>
        <v>0</v>
      </c>
      <c r="O292" s="131">
        <f t="shared" si="206"/>
        <v>0</v>
      </c>
      <c r="P292" s="131">
        <f t="shared" si="207"/>
        <v>0</v>
      </c>
      <c r="Q292" s="131">
        <f t="shared" si="208"/>
        <v>0</v>
      </c>
      <c r="R292" s="131">
        <f t="shared" si="256"/>
        <v>0</v>
      </c>
      <c r="S292" s="131">
        <f t="shared" si="209"/>
        <v>0</v>
      </c>
      <c r="T292" s="131">
        <f t="shared" si="210"/>
        <v>0</v>
      </c>
      <c r="U292" s="131">
        <f t="shared" si="211"/>
        <v>0</v>
      </c>
      <c r="V292" s="131">
        <f t="shared" si="212"/>
        <v>0</v>
      </c>
      <c r="W292" s="131">
        <f t="shared" si="257"/>
        <v>0</v>
      </c>
      <c r="X292" s="131">
        <f t="shared" si="213"/>
        <v>0</v>
      </c>
      <c r="Y292" s="131">
        <f t="shared" si="214"/>
        <v>0</v>
      </c>
      <c r="Z292" s="131">
        <f t="shared" si="215"/>
        <v>0</v>
      </c>
      <c r="AA292" s="131">
        <f t="shared" si="216"/>
        <v>0</v>
      </c>
      <c r="AB292" s="131">
        <f t="shared" si="258"/>
        <v>22864.52</v>
      </c>
      <c r="AC292" s="131">
        <f t="shared" si="217"/>
        <v>114.32</v>
      </c>
      <c r="AD292" s="131">
        <f t="shared" si="218"/>
        <v>235.68</v>
      </c>
      <c r="AE292" s="131">
        <f t="shared" si="219"/>
        <v>970</v>
      </c>
      <c r="AF292" s="131">
        <f t="shared" si="220"/>
        <v>21658.84</v>
      </c>
      <c r="AG292" s="131">
        <f t="shared" si="259"/>
        <v>0</v>
      </c>
      <c r="AH292" s="131">
        <f t="shared" si="221"/>
        <v>0</v>
      </c>
      <c r="AI292" s="131">
        <f t="shared" si="222"/>
        <v>0</v>
      </c>
      <c r="AJ292" s="131">
        <f t="shared" si="223"/>
        <v>0</v>
      </c>
      <c r="AK292" s="131">
        <f t="shared" si="224"/>
        <v>0</v>
      </c>
      <c r="AL292" s="131">
        <f t="shared" si="260"/>
        <v>0</v>
      </c>
      <c r="AM292" s="131">
        <f t="shared" si="225"/>
        <v>0</v>
      </c>
      <c r="AN292" s="131">
        <f t="shared" si="226"/>
        <v>0</v>
      </c>
      <c r="AO292" s="131">
        <f t="shared" si="227"/>
        <v>0</v>
      </c>
      <c r="AP292" s="131">
        <f t="shared" si="228"/>
        <v>0</v>
      </c>
      <c r="AQ292" s="149">
        <f t="shared" si="261"/>
        <v>970</v>
      </c>
      <c r="AR292" s="149">
        <f t="shared" si="262"/>
        <v>237055.14000000045</v>
      </c>
      <c r="AS292" s="133"/>
      <c r="AT292" s="132">
        <f t="shared" si="263"/>
        <v>240</v>
      </c>
      <c r="AU292" s="148">
        <f t="shared" si="229"/>
        <v>52962</v>
      </c>
      <c r="AV292" s="131">
        <f t="shared" si="264"/>
        <v>0</v>
      </c>
      <c r="AW292" s="131">
        <f t="shared" si="230"/>
        <v>0</v>
      </c>
      <c r="AX292" s="131">
        <f t="shared" si="231"/>
        <v>0</v>
      </c>
      <c r="AY292" s="131">
        <f t="shared" si="232"/>
        <v>0</v>
      </c>
      <c r="AZ292" s="131">
        <f t="shared" si="233"/>
        <v>0</v>
      </c>
      <c r="BA292" s="131">
        <f t="shared" si="265"/>
        <v>0</v>
      </c>
      <c r="BB292" s="131">
        <f t="shared" si="234"/>
        <v>0</v>
      </c>
      <c r="BC292" s="131">
        <f t="shared" si="235"/>
        <v>0</v>
      </c>
      <c r="BD292" s="131">
        <f t="shared" si="236"/>
        <v>0</v>
      </c>
      <c r="BE292" s="131">
        <f t="shared" si="237"/>
        <v>0</v>
      </c>
      <c r="BF292" s="131">
        <f t="shared" si="266"/>
        <v>0</v>
      </c>
      <c r="BG292" s="131">
        <f t="shared" si="238"/>
        <v>0</v>
      </c>
      <c r="BH292" s="131">
        <f t="shared" si="239"/>
        <v>0</v>
      </c>
      <c r="BI292" s="131">
        <f t="shared" si="240"/>
        <v>0</v>
      </c>
      <c r="BJ292" s="131">
        <f t="shared" si="241"/>
        <v>0</v>
      </c>
      <c r="BK292" s="131">
        <f t="shared" si="267"/>
        <v>17783.759999999998</v>
      </c>
      <c r="BL292" s="131">
        <f t="shared" si="242"/>
        <v>88.92</v>
      </c>
      <c r="BM292" s="131">
        <f t="shared" si="243"/>
        <v>261.08</v>
      </c>
      <c r="BN292" s="131">
        <f t="shared" si="244"/>
        <v>920</v>
      </c>
      <c r="BO292" s="131">
        <f t="shared" si="245"/>
        <v>16602.68</v>
      </c>
      <c r="BP292" s="131">
        <f t="shared" si="268"/>
        <v>12000</v>
      </c>
      <c r="BQ292" s="131">
        <f t="shared" si="246"/>
        <v>50</v>
      </c>
      <c r="BR292" s="131">
        <f t="shared" si="247"/>
        <v>0</v>
      </c>
      <c r="BS292" s="131">
        <f t="shared" si="248"/>
        <v>0</v>
      </c>
      <c r="BT292" s="131">
        <f t="shared" si="249"/>
        <v>12000</v>
      </c>
      <c r="BU292" s="131">
        <f t="shared" si="269"/>
        <v>0</v>
      </c>
      <c r="BV292" s="131">
        <f t="shared" si="250"/>
        <v>0</v>
      </c>
      <c r="BW292" s="131">
        <f t="shared" si="251"/>
        <v>0</v>
      </c>
      <c r="BX292" s="131">
        <f t="shared" si="252"/>
        <v>0</v>
      </c>
      <c r="BY292" s="131">
        <f t="shared" si="253"/>
        <v>0</v>
      </c>
      <c r="BZ292" s="147">
        <f t="shared" si="270"/>
        <v>920</v>
      </c>
      <c r="CA292" s="147">
        <f t="shared" si="271"/>
        <v>225615.79000000012</v>
      </c>
    </row>
    <row r="293" spans="11:79">
      <c r="K293" s="152">
        <f t="shared" si="254"/>
        <v>241</v>
      </c>
      <c r="L293" s="151">
        <f t="shared" si="204"/>
        <v>52993</v>
      </c>
      <c r="M293" s="150">
        <f t="shared" si="255"/>
        <v>0</v>
      </c>
      <c r="N293" s="150">
        <f t="shared" si="205"/>
        <v>0</v>
      </c>
      <c r="O293" s="150">
        <f t="shared" si="206"/>
        <v>0</v>
      </c>
      <c r="P293" s="150">
        <f t="shared" si="207"/>
        <v>0</v>
      </c>
      <c r="Q293" s="150">
        <f t="shared" si="208"/>
        <v>0</v>
      </c>
      <c r="R293" s="150">
        <f t="shared" si="256"/>
        <v>0</v>
      </c>
      <c r="S293" s="150">
        <f t="shared" si="209"/>
        <v>0</v>
      </c>
      <c r="T293" s="150">
        <f t="shared" si="210"/>
        <v>0</v>
      </c>
      <c r="U293" s="150">
        <f t="shared" si="211"/>
        <v>0</v>
      </c>
      <c r="V293" s="150">
        <f t="shared" si="212"/>
        <v>0</v>
      </c>
      <c r="W293" s="150">
        <f t="shared" si="257"/>
        <v>0</v>
      </c>
      <c r="X293" s="150">
        <f t="shared" si="213"/>
        <v>0</v>
      </c>
      <c r="Y293" s="150">
        <f t="shared" si="214"/>
        <v>0</v>
      </c>
      <c r="Z293" s="150">
        <f t="shared" si="215"/>
        <v>0</v>
      </c>
      <c r="AA293" s="150">
        <f t="shared" si="216"/>
        <v>0</v>
      </c>
      <c r="AB293" s="150">
        <f t="shared" si="258"/>
        <v>21658.84</v>
      </c>
      <c r="AC293" s="150">
        <f t="shared" si="217"/>
        <v>108.29</v>
      </c>
      <c r="AD293" s="150">
        <f t="shared" si="218"/>
        <v>241.70999999999998</v>
      </c>
      <c r="AE293" s="150">
        <f t="shared" si="219"/>
        <v>970</v>
      </c>
      <c r="AF293" s="150">
        <f t="shared" si="220"/>
        <v>20447.13</v>
      </c>
      <c r="AG293" s="150">
        <f t="shared" si="259"/>
        <v>0</v>
      </c>
      <c r="AH293" s="150">
        <f t="shared" si="221"/>
        <v>0</v>
      </c>
      <c r="AI293" s="150">
        <f t="shared" si="222"/>
        <v>0</v>
      </c>
      <c r="AJ293" s="150">
        <f t="shared" si="223"/>
        <v>0</v>
      </c>
      <c r="AK293" s="150">
        <f t="shared" si="224"/>
        <v>0</v>
      </c>
      <c r="AL293" s="150">
        <f t="shared" si="260"/>
        <v>0</v>
      </c>
      <c r="AM293" s="150">
        <f t="shared" si="225"/>
        <v>0</v>
      </c>
      <c r="AN293" s="150">
        <f t="shared" si="226"/>
        <v>0</v>
      </c>
      <c r="AO293" s="150">
        <f t="shared" si="227"/>
        <v>0</v>
      </c>
      <c r="AP293" s="150">
        <f t="shared" si="228"/>
        <v>0</v>
      </c>
      <c r="AQ293" s="149">
        <f t="shared" si="261"/>
        <v>970</v>
      </c>
      <c r="AR293" s="149">
        <f t="shared" si="262"/>
        <v>237163.43000000046</v>
      </c>
      <c r="AS293" s="133"/>
      <c r="AT293" s="152">
        <f t="shared" si="263"/>
        <v>241</v>
      </c>
      <c r="AU293" s="151">
        <f t="shared" si="229"/>
        <v>52993</v>
      </c>
      <c r="AV293" s="150">
        <f t="shared" si="264"/>
        <v>0</v>
      </c>
      <c r="AW293" s="150">
        <f t="shared" si="230"/>
        <v>0</v>
      </c>
      <c r="AX293" s="150">
        <f t="shared" si="231"/>
        <v>0</v>
      </c>
      <c r="AY293" s="150">
        <f t="shared" si="232"/>
        <v>0</v>
      </c>
      <c r="AZ293" s="150">
        <f t="shared" si="233"/>
        <v>0</v>
      </c>
      <c r="BA293" s="150">
        <f t="shared" si="265"/>
        <v>0</v>
      </c>
      <c r="BB293" s="150">
        <f t="shared" si="234"/>
        <v>0</v>
      </c>
      <c r="BC293" s="150">
        <f t="shared" si="235"/>
        <v>0</v>
      </c>
      <c r="BD293" s="150">
        <f t="shared" si="236"/>
        <v>0</v>
      </c>
      <c r="BE293" s="150">
        <f t="shared" si="237"/>
        <v>0</v>
      </c>
      <c r="BF293" s="150">
        <f t="shared" si="266"/>
        <v>0</v>
      </c>
      <c r="BG293" s="150">
        <f t="shared" si="238"/>
        <v>0</v>
      </c>
      <c r="BH293" s="150">
        <f t="shared" si="239"/>
        <v>0</v>
      </c>
      <c r="BI293" s="150">
        <f t="shared" si="240"/>
        <v>0</v>
      </c>
      <c r="BJ293" s="150">
        <f t="shared" si="241"/>
        <v>0</v>
      </c>
      <c r="BK293" s="150">
        <f t="shared" si="267"/>
        <v>16602.68</v>
      </c>
      <c r="BL293" s="150">
        <f t="shared" si="242"/>
        <v>83.01</v>
      </c>
      <c r="BM293" s="150">
        <f t="shared" si="243"/>
        <v>266.99</v>
      </c>
      <c r="BN293" s="150">
        <f t="shared" si="244"/>
        <v>920</v>
      </c>
      <c r="BO293" s="150">
        <f t="shared" si="245"/>
        <v>15415.69</v>
      </c>
      <c r="BP293" s="150">
        <f t="shared" si="268"/>
        <v>12000</v>
      </c>
      <c r="BQ293" s="150">
        <f t="shared" si="246"/>
        <v>50</v>
      </c>
      <c r="BR293" s="150">
        <f t="shared" si="247"/>
        <v>0</v>
      </c>
      <c r="BS293" s="150">
        <f t="shared" si="248"/>
        <v>0</v>
      </c>
      <c r="BT293" s="150">
        <f t="shared" si="249"/>
        <v>12000</v>
      </c>
      <c r="BU293" s="150">
        <f t="shared" si="269"/>
        <v>0</v>
      </c>
      <c r="BV293" s="150">
        <f t="shared" si="250"/>
        <v>0</v>
      </c>
      <c r="BW293" s="150">
        <f t="shared" si="251"/>
        <v>0</v>
      </c>
      <c r="BX293" s="150">
        <f t="shared" si="252"/>
        <v>0</v>
      </c>
      <c r="BY293" s="150">
        <f t="shared" si="253"/>
        <v>0</v>
      </c>
      <c r="BZ293" s="147">
        <f t="shared" si="270"/>
        <v>920</v>
      </c>
      <c r="CA293" s="147">
        <f t="shared" si="271"/>
        <v>225748.80000000013</v>
      </c>
    </row>
    <row r="294" spans="11:79">
      <c r="K294" s="132">
        <f t="shared" si="254"/>
        <v>242</v>
      </c>
      <c r="L294" s="148">
        <f t="shared" si="204"/>
        <v>53021</v>
      </c>
      <c r="M294" s="131">
        <f t="shared" si="255"/>
        <v>0</v>
      </c>
      <c r="N294" s="131">
        <f t="shared" si="205"/>
        <v>0</v>
      </c>
      <c r="O294" s="131">
        <f t="shared" si="206"/>
        <v>0</v>
      </c>
      <c r="P294" s="131">
        <f t="shared" si="207"/>
        <v>0</v>
      </c>
      <c r="Q294" s="131">
        <f t="shared" si="208"/>
        <v>0</v>
      </c>
      <c r="R294" s="131">
        <f t="shared" si="256"/>
        <v>0</v>
      </c>
      <c r="S294" s="131">
        <f t="shared" si="209"/>
        <v>0</v>
      </c>
      <c r="T294" s="131">
        <f t="shared" si="210"/>
        <v>0</v>
      </c>
      <c r="U294" s="131">
        <f t="shared" si="211"/>
        <v>0</v>
      </c>
      <c r="V294" s="131">
        <f t="shared" si="212"/>
        <v>0</v>
      </c>
      <c r="W294" s="131">
        <f t="shared" si="257"/>
        <v>0</v>
      </c>
      <c r="X294" s="131">
        <f t="shared" si="213"/>
        <v>0</v>
      </c>
      <c r="Y294" s="131">
        <f t="shared" si="214"/>
        <v>0</v>
      </c>
      <c r="Z294" s="131">
        <f t="shared" si="215"/>
        <v>0</v>
      </c>
      <c r="AA294" s="131">
        <f t="shared" si="216"/>
        <v>0</v>
      </c>
      <c r="AB294" s="131">
        <f t="shared" si="258"/>
        <v>20447.13</v>
      </c>
      <c r="AC294" s="131">
        <f t="shared" si="217"/>
        <v>102.24</v>
      </c>
      <c r="AD294" s="131">
        <f t="shared" si="218"/>
        <v>247.76</v>
      </c>
      <c r="AE294" s="131">
        <f t="shared" si="219"/>
        <v>970</v>
      </c>
      <c r="AF294" s="131">
        <f t="shared" si="220"/>
        <v>19229.37</v>
      </c>
      <c r="AG294" s="131">
        <f t="shared" si="259"/>
        <v>0</v>
      </c>
      <c r="AH294" s="131">
        <f t="shared" si="221"/>
        <v>0</v>
      </c>
      <c r="AI294" s="131">
        <f t="shared" si="222"/>
        <v>0</v>
      </c>
      <c r="AJ294" s="131">
        <f t="shared" si="223"/>
        <v>0</v>
      </c>
      <c r="AK294" s="131">
        <f t="shared" si="224"/>
        <v>0</v>
      </c>
      <c r="AL294" s="131">
        <f t="shared" si="260"/>
        <v>0</v>
      </c>
      <c r="AM294" s="131">
        <f t="shared" si="225"/>
        <v>0</v>
      </c>
      <c r="AN294" s="131">
        <f t="shared" si="226"/>
        <v>0</v>
      </c>
      <c r="AO294" s="131">
        <f t="shared" si="227"/>
        <v>0</v>
      </c>
      <c r="AP294" s="131">
        <f t="shared" si="228"/>
        <v>0</v>
      </c>
      <c r="AQ294" s="149">
        <f t="shared" si="261"/>
        <v>970</v>
      </c>
      <c r="AR294" s="149">
        <f t="shared" si="262"/>
        <v>237265.67000000045</v>
      </c>
      <c r="AS294" s="133"/>
      <c r="AT294" s="132">
        <f t="shared" si="263"/>
        <v>242</v>
      </c>
      <c r="AU294" s="148">
        <f t="shared" si="229"/>
        <v>53021</v>
      </c>
      <c r="AV294" s="131">
        <f t="shared" si="264"/>
        <v>0</v>
      </c>
      <c r="AW294" s="131">
        <f t="shared" si="230"/>
        <v>0</v>
      </c>
      <c r="AX294" s="131">
        <f t="shared" si="231"/>
        <v>0</v>
      </c>
      <c r="AY294" s="131">
        <f t="shared" si="232"/>
        <v>0</v>
      </c>
      <c r="AZ294" s="131">
        <f t="shared" si="233"/>
        <v>0</v>
      </c>
      <c r="BA294" s="131">
        <f t="shared" si="265"/>
        <v>0</v>
      </c>
      <c r="BB294" s="131">
        <f t="shared" si="234"/>
        <v>0</v>
      </c>
      <c r="BC294" s="131">
        <f t="shared" si="235"/>
        <v>0</v>
      </c>
      <c r="BD294" s="131">
        <f t="shared" si="236"/>
        <v>0</v>
      </c>
      <c r="BE294" s="131">
        <f t="shared" si="237"/>
        <v>0</v>
      </c>
      <c r="BF294" s="131">
        <f t="shared" si="266"/>
        <v>0</v>
      </c>
      <c r="BG294" s="131">
        <f t="shared" si="238"/>
        <v>0</v>
      </c>
      <c r="BH294" s="131">
        <f t="shared" si="239"/>
        <v>0</v>
      </c>
      <c r="BI294" s="131">
        <f t="shared" si="240"/>
        <v>0</v>
      </c>
      <c r="BJ294" s="131">
        <f t="shared" si="241"/>
        <v>0</v>
      </c>
      <c r="BK294" s="131">
        <f t="shared" si="267"/>
        <v>15415.69</v>
      </c>
      <c r="BL294" s="131">
        <f t="shared" si="242"/>
        <v>77.08</v>
      </c>
      <c r="BM294" s="131">
        <f t="shared" si="243"/>
        <v>272.92</v>
      </c>
      <c r="BN294" s="131">
        <f t="shared" si="244"/>
        <v>920</v>
      </c>
      <c r="BO294" s="131">
        <f t="shared" si="245"/>
        <v>14222.77</v>
      </c>
      <c r="BP294" s="131">
        <f t="shared" si="268"/>
        <v>12000</v>
      </c>
      <c r="BQ294" s="131">
        <f t="shared" si="246"/>
        <v>50</v>
      </c>
      <c r="BR294" s="131">
        <f t="shared" si="247"/>
        <v>0</v>
      </c>
      <c r="BS294" s="131">
        <f t="shared" si="248"/>
        <v>0</v>
      </c>
      <c r="BT294" s="131">
        <f t="shared" si="249"/>
        <v>12000</v>
      </c>
      <c r="BU294" s="131">
        <f t="shared" si="269"/>
        <v>0</v>
      </c>
      <c r="BV294" s="131">
        <f t="shared" si="250"/>
        <v>0</v>
      </c>
      <c r="BW294" s="131">
        <f t="shared" si="251"/>
        <v>0</v>
      </c>
      <c r="BX294" s="131">
        <f t="shared" si="252"/>
        <v>0</v>
      </c>
      <c r="BY294" s="131">
        <f t="shared" si="253"/>
        <v>0</v>
      </c>
      <c r="BZ294" s="147">
        <f t="shared" si="270"/>
        <v>920</v>
      </c>
      <c r="CA294" s="147">
        <f t="shared" si="271"/>
        <v>225875.88000000012</v>
      </c>
    </row>
    <row r="295" spans="11:79">
      <c r="K295" s="152">
        <f t="shared" si="254"/>
        <v>243</v>
      </c>
      <c r="L295" s="151">
        <f t="shared" si="204"/>
        <v>53052</v>
      </c>
      <c r="M295" s="150">
        <f t="shared" si="255"/>
        <v>0</v>
      </c>
      <c r="N295" s="150">
        <f t="shared" si="205"/>
        <v>0</v>
      </c>
      <c r="O295" s="150">
        <f t="shared" si="206"/>
        <v>0</v>
      </c>
      <c r="P295" s="150">
        <f t="shared" si="207"/>
        <v>0</v>
      </c>
      <c r="Q295" s="150">
        <f t="shared" si="208"/>
        <v>0</v>
      </c>
      <c r="R295" s="150">
        <f t="shared" si="256"/>
        <v>0</v>
      </c>
      <c r="S295" s="150">
        <f t="shared" si="209"/>
        <v>0</v>
      </c>
      <c r="T295" s="150">
        <f t="shared" si="210"/>
        <v>0</v>
      </c>
      <c r="U295" s="150">
        <f t="shared" si="211"/>
        <v>0</v>
      </c>
      <c r="V295" s="150">
        <f t="shared" si="212"/>
        <v>0</v>
      </c>
      <c r="W295" s="150">
        <f t="shared" si="257"/>
        <v>0</v>
      </c>
      <c r="X295" s="150">
        <f t="shared" si="213"/>
        <v>0</v>
      </c>
      <c r="Y295" s="150">
        <f t="shared" si="214"/>
        <v>0</v>
      </c>
      <c r="Z295" s="150">
        <f t="shared" si="215"/>
        <v>0</v>
      </c>
      <c r="AA295" s="150">
        <f t="shared" si="216"/>
        <v>0</v>
      </c>
      <c r="AB295" s="150">
        <f t="shared" si="258"/>
        <v>19229.37</v>
      </c>
      <c r="AC295" s="150">
        <f t="shared" si="217"/>
        <v>96.15</v>
      </c>
      <c r="AD295" s="150">
        <f t="shared" si="218"/>
        <v>253.85</v>
      </c>
      <c r="AE295" s="150">
        <f t="shared" si="219"/>
        <v>970</v>
      </c>
      <c r="AF295" s="150">
        <f t="shared" si="220"/>
        <v>18005.52</v>
      </c>
      <c r="AG295" s="150">
        <f t="shared" si="259"/>
        <v>0</v>
      </c>
      <c r="AH295" s="150">
        <f t="shared" si="221"/>
        <v>0</v>
      </c>
      <c r="AI295" s="150">
        <f t="shared" si="222"/>
        <v>0</v>
      </c>
      <c r="AJ295" s="150">
        <f t="shared" si="223"/>
        <v>0</v>
      </c>
      <c r="AK295" s="150">
        <f t="shared" si="224"/>
        <v>0</v>
      </c>
      <c r="AL295" s="150">
        <f t="shared" si="260"/>
        <v>0</v>
      </c>
      <c r="AM295" s="150">
        <f t="shared" si="225"/>
        <v>0</v>
      </c>
      <c r="AN295" s="150">
        <f t="shared" si="226"/>
        <v>0</v>
      </c>
      <c r="AO295" s="150">
        <f t="shared" si="227"/>
        <v>0</v>
      </c>
      <c r="AP295" s="150">
        <f t="shared" si="228"/>
        <v>0</v>
      </c>
      <c r="AQ295" s="149">
        <f t="shared" si="261"/>
        <v>970</v>
      </c>
      <c r="AR295" s="149">
        <f t="shared" si="262"/>
        <v>237361.82000000044</v>
      </c>
      <c r="AS295" s="133"/>
      <c r="AT295" s="152">
        <f t="shared" si="263"/>
        <v>243</v>
      </c>
      <c r="AU295" s="151">
        <f t="shared" si="229"/>
        <v>53052</v>
      </c>
      <c r="AV295" s="150">
        <f t="shared" si="264"/>
        <v>0</v>
      </c>
      <c r="AW295" s="150">
        <f t="shared" si="230"/>
        <v>0</v>
      </c>
      <c r="AX295" s="150">
        <f t="shared" si="231"/>
        <v>0</v>
      </c>
      <c r="AY295" s="150">
        <f t="shared" si="232"/>
        <v>0</v>
      </c>
      <c r="AZ295" s="150">
        <f t="shared" si="233"/>
        <v>0</v>
      </c>
      <c r="BA295" s="150">
        <f t="shared" si="265"/>
        <v>0</v>
      </c>
      <c r="BB295" s="150">
        <f t="shared" si="234"/>
        <v>0</v>
      </c>
      <c r="BC295" s="150">
        <f t="shared" si="235"/>
        <v>0</v>
      </c>
      <c r="BD295" s="150">
        <f t="shared" si="236"/>
        <v>0</v>
      </c>
      <c r="BE295" s="150">
        <f t="shared" si="237"/>
        <v>0</v>
      </c>
      <c r="BF295" s="150">
        <f t="shared" si="266"/>
        <v>0</v>
      </c>
      <c r="BG295" s="150">
        <f t="shared" si="238"/>
        <v>0</v>
      </c>
      <c r="BH295" s="150">
        <f t="shared" si="239"/>
        <v>0</v>
      </c>
      <c r="BI295" s="150">
        <f t="shared" si="240"/>
        <v>0</v>
      </c>
      <c r="BJ295" s="150">
        <f t="shared" si="241"/>
        <v>0</v>
      </c>
      <c r="BK295" s="150">
        <f t="shared" si="267"/>
        <v>14222.77</v>
      </c>
      <c r="BL295" s="150">
        <f t="shared" si="242"/>
        <v>71.11</v>
      </c>
      <c r="BM295" s="150">
        <f t="shared" si="243"/>
        <v>278.89</v>
      </c>
      <c r="BN295" s="150">
        <f t="shared" si="244"/>
        <v>920</v>
      </c>
      <c r="BO295" s="150">
        <f t="shared" si="245"/>
        <v>13023.88</v>
      </c>
      <c r="BP295" s="150">
        <f t="shared" si="268"/>
        <v>12000</v>
      </c>
      <c r="BQ295" s="150">
        <f t="shared" si="246"/>
        <v>50</v>
      </c>
      <c r="BR295" s="150">
        <f t="shared" si="247"/>
        <v>0</v>
      </c>
      <c r="BS295" s="150">
        <f t="shared" si="248"/>
        <v>0</v>
      </c>
      <c r="BT295" s="150">
        <f t="shared" si="249"/>
        <v>12000</v>
      </c>
      <c r="BU295" s="150">
        <f t="shared" si="269"/>
        <v>0</v>
      </c>
      <c r="BV295" s="150">
        <f t="shared" si="250"/>
        <v>0</v>
      </c>
      <c r="BW295" s="150">
        <f t="shared" si="251"/>
        <v>0</v>
      </c>
      <c r="BX295" s="150">
        <f t="shared" si="252"/>
        <v>0</v>
      </c>
      <c r="BY295" s="150">
        <f t="shared" si="253"/>
        <v>0</v>
      </c>
      <c r="BZ295" s="147">
        <f t="shared" si="270"/>
        <v>920</v>
      </c>
      <c r="CA295" s="147">
        <f t="shared" si="271"/>
        <v>225996.99000000011</v>
      </c>
    </row>
    <row r="296" spans="11:79">
      <c r="K296" s="132">
        <f t="shared" si="254"/>
        <v>244</v>
      </c>
      <c r="L296" s="148">
        <f t="shared" si="204"/>
        <v>53082</v>
      </c>
      <c r="M296" s="131">
        <f t="shared" si="255"/>
        <v>0</v>
      </c>
      <c r="N296" s="131">
        <f t="shared" si="205"/>
        <v>0</v>
      </c>
      <c r="O296" s="131">
        <f t="shared" si="206"/>
        <v>0</v>
      </c>
      <c r="P296" s="131">
        <f t="shared" si="207"/>
        <v>0</v>
      </c>
      <c r="Q296" s="131">
        <f t="shared" si="208"/>
        <v>0</v>
      </c>
      <c r="R296" s="131">
        <f t="shared" si="256"/>
        <v>0</v>
      </c>
      <c r="S296" s="131">
        <f t="shared" si="209"/>
        <v>0</v>
      </c>
      <c r="T296" s="131">
        <f t="shared" si="210"/>
        <v>0</v>
      </c>
      <c r="U296" s="131">
        <f t="shared" si="211"/>
        <v>0</v>
      </c>
      <c r="V296" s="131">
        <f t="shared" si="212"/>
        <v>0</v>
      </c>
      <c r="W296" s="131">
        <f t="shared" si="257"/>
        <v>0</v>
      </c>
      <c r="X296" s="131">
        <f t="shared" si="213"/>
        <v>0</v>
      </c>
      <c r="Y296" s="131">
        <f t="shared" si="214"/>
        <v>0</v>
      </c>
      <c r="Z296" s="131">
        <f t="shared" si="215"/>
        <v>0</v>
      </c>
      <c r="AA296" s="131">
        <f t="shared" si="216"/>
        <v>0</v>
      </c>
      <c r="AB296" s="131">
        <f t="shared" si="258"/>
        <v>18005.52</v>
      </c>
      <c r="AC296" s="131">
        <f t="shared" si="217"/>
        <v>90.03</v>
      </c>
      <c r="AD296" s="131">
        <f t="shared" si="218"/>
        <v>259.97000000000003</v>
      </c>
      <c r="AE296" s="131">
        <f t="shared" si="219"/>
        <v>970</v>
      </c>
      <c r="AF296" s="131">
        <f t="shared" si="220"/>
        <v>16775.55</v>
      </c>
      <c r="AG296" s="131">
        <f t="shared" si="259"/>
        <v>0</v>
      </c>
      <c r="AH296" s="131">
        <f t="shared" si="221"/>
        <v>0</v>
      </c>
      <c r="AI296" s="131">
        <f t="shared" si="222"/>
        <v>0</v>
      </c>
      <c r="AJ296" s="131">
        <f t="shared" si="223"/>
        <v>0</v>
      </c>
      <c r="AK296" s="131">
        <f t="shared" si="224"/>
        <v>0</v>
      </c>
      <c r="AL296" s="131">
        <f t="shared" si="260"/>
        <v>0</v>
      </c>
      <c r="AM296" s="131">
        <f t="shared" si="225"/>
        <v>0</v>
      </c>
      <c r="AN296" s="131">
        <f t="shared" si="226"/>
        <v>0</v>
      </c>
      <c r="AO296" s="131">
        <f t="shared" si="227"/>
        <v>0</v>
      </c>
      <c r="AP296" s="131">
        <f t="shared" si="228"/>
        <v>0</v>
      </c>
      <c r="AQ296" s="149">
        <f t="shared" si="261"/>
        <v>970</v>
      </c>
      <c r="AR296" s="149">
        <f t="shared" si="262"/>
        <v>237451.85000000044</v>
      </c>
      <c r="AS296" s="133"/>
      <c r="AT296" s="132">
        <f t="shared" si="263"/>
        <v>244</v>
      </c>
      <c r="AU296" s="148">
        <f t="shared" si="229"/>
        <v>53082</v>
      </c>
      <c r="AV296" s="131">
        <f t="shared" si="264"/>
        <v>0</v>
      </c>
      <c r="AW296" s="131">
        <f t="shared" si="230"/>
        <v>0</v>
      </c>
      <c r="AX296" s="131">
        <f t="shared" si="231"/>
        <v>0</v>
      </c>
      <c r="AY296" s="131">
        <f t="shared" si="232"/>
        <v>0</v>
      </c>
      <c r="AZ296" s="131">
        <f t="shared" si="233"/>
        <v>0</v>
      </c>
      <c r="BA296" s="131">
        <f t="shared" si="265"/>
        <v>0</v>
      </c>
      <c r="BB296" s="131">
        <f t="shared" si="234"/>
        <v>0</v>
      </c>
      <c r="BC296" s="131">
        <f t="shared" si="235"/>
        <v>0</v>
      </c>
      <c r="BD296" s="131">
        <f t="shared" si="236"/>
        <v>0</v>
      </c>
      <c r="BE296" s="131">
        <f t="shared" si="237"/>
        <v>0</v>
      </c>
      <c r="BF296" s="131">
        <f t="shared" si="266"/>
        <v>0</v>
      </c>
      <c r="BG296" s="131">
        <f t="shared" si="238"/>
        <v>0</v>
      </c>
      <c r="BH296" s="131">
        <f t="shared" si="239"/>
        <v>0</v>
      </c>
      <c r="BI296" s="131">
        <f t="shared" si="240"/>
        <v>0</v>
      </c>
      <c r="BJ296" s="131">
        <f t="shared" si="241"/>
        <v>0</v>
      </c>
      <c r="BK296" s="131">
        <f t="shared" si="267"/>
        <v>13023.88</v>
      </c>
      <c r="BL296" s="131">
        <f t="shared" si="242"/>
        <v>65.12</v>
      </c>
      <c r="BM296" s="131">
        <f t="shared" si="243"/>
        <v>284.88</v>
      </c>
      <c r="BN296" s="131">
        <f t="shared" si="244"/>
        <v>920</v>
      </c>
      <c r="BO296" s="131">
        <f t="shared" si="245"/>
        <v>11819</v>
      </c>
      <c r="BP296" s="131">
        <f t="shared" si="268"/>
        <v>12000</v>
      </c>
      <c r="BQ296" s="131">
        <f t="shared" si="246"/>
        <v>50</v>
      </c>
      <c r="BR296" s="131">
        <f t="shared" si="247"/>
        <v>0</v>
      </c>
      <c r="BS296" s="131">
        <f t="shared" si="248"/>
        <v>0</v>
      </c>
      <c r="BT296" s="131">
        <f t="shared" si="249"/>
        <v>12000</v>
      </c>
      <c r="BU296" s="131">
        <f t="shared" si="269"/>
        <v>0</v>
      </c>
      <c r="BV296" s="131">
        <f t="shared" si="250"/>
        <v>0</v>
      </c>
      <c r="BW296" s="131">
        <f t="shared" si="251"/>
        <v>0</v>
      </c>
      <c r="BX296" s="131">
        <f t="shared" si="252"/>
        <v>0</v>
      </c>
      <c r="BY296" s="131">
        <f t="shared" si="253"/>
        <v>0</v>
      </c>
      <c r="BZ296" s="147">
        <f t="shared" si="270"/>
        <v>920</v>
      </c>
      <c r="CA296" s="147">
        <f t="shared" si="271"/>
        <v>226112.1100000001</v>
      </c>
    </row>
    <row r="297" spans="11:79">
      <c r="K297" s="152">
        <f t="shared" si="254"/>
        <v>245</v>
      </c>
      <c r="L297" s="151">
        <f t="shared" si="204"/>
        <v>53113</v>
      </c>
      <c r="M297" s="150">
        <f t="shared" si="255"/>
        <v>0</v>
      </c>
      <c r="N297" s="150">
        <f t="shared" si="205"/>
        <v>0</v>
      </c>
      <c r="O297" s="150">
        <f t="shared" si="206"/>
        <v>0</v>
      </c>
      <c r="P297" s="150">
        <f t="shared" si="207"/>
        <v>0</v>
      </c>
      <c r="Q297" s="150">
        <f t="shared" si="208"/>
        <v>0</v>
      </c>
      <c r="R297" s="150">
        <f t="shared" si="256"/>
        <v>0</v>
      </c>
      <c r="S297" s="150">
        <f t="shared" si="209"/>
        <v>0</v>
      </c>
      <c r="T297" s="150">
        <f t="shared" si="210"/>
        <v>0</v>
      </c>
      <c r="U297" s="150">
        <f t="shared" si="211"/>
        <v>0</v>
      </c>
      <c r="V297" s="150">
        <f t="shared" si="212"/>
        <v>0</v>
      </c>
      <c r="W297" s="150">
        <f t="shared" si="257"/>
        <v>0</v>
      </c>
      <c r="X297" s="150">
        <f t="shared" si="213"/>
        <v>0</v>
      </c>
      <c r="Y297" s="150">
        <f t="shared" si="214"/>
        <v>0</v>
      </c>
      <c r="Z297" s="150">
        <f t="shared" si="215"/>
        <v>0</v>
      </c>
      <c r="AA297" s="150">
        <f t="shared" si="216"/>
        <v>0</v>
      </c>
      <c r="AB297" s="150">
        <f t="shared" si="258"/>
        <v>16775.55</v>
      </c>
      <c r="AC297" s="150">
        <f t="shared" si="217"/>
        <v>83.88</v>
      </c>
      <c r="AD297" s="150">
        <f t="shared" si="218"/>
        <v>266.12</v>
      </c>
      <c r="AE297" s="150">
        <f t="shared" si="219"/>
        <v>970</v>
      </c>
      <c r="AF297" s="150">
        <f t="shared" si="220"/>
        <v>15539.43</v>
      </c>
      <c r="AG297" s="150">
        <f t="shared" si="259"/>
        <v>0</v>
      </c>
      <c r="AH297" s="150">
        <f t="shared" si="221"/>
        <v>0</v>
      </c>
      <c r="AI297" s="150">
        <f t="shared" si="222"/>
        <v>0</v>
      </c>
      <c r="AJ297" s="150">
        <f t="shared" si="223"/>
        <v>0</v>
      </c>
      <c r="AK297" s="150">
        <f t="shared" si="224"/>
        <v>0</v>
      </c>
      <c r="AL297" s="150">
        <f t="shared" si="260"/>
        <v>0</v>
      </c>
      <c r="AM297" s="150">
        <f t="shared" si="225"/>
        <v>0</v>
      </c>
      <c r="AN297" s="150">
        <f t="shared" si="226"/>
        <v>0</v>
      </c>
      <c r="AO297" s="150">
        <f t="shared" si="227"/>
        <v>0</v>
      </c>
      <c r="AP297" s="150">
        <f t="shared" si="228"/>
        <v>0</v>
      </c>
      <c r="AQ297" s="149">
        <f t="shared" si="261"/>
        <v>970</v>
      </c>
      <c r="AR297" s="149">
        <f t="shared" si="262"/>
        <v>237535.73000000045</v>
      </c>
      <c r="AS297" s="133"/>
      <c r="AT297" s="152">
        <f t="shared" si="263"/>
        <v>245</v>
      </c>
      <c r="AU297" s="151">
        <f t="shared" si="229"/>
        <v>53113</v>
      </c>
      <c r="AV297" s="150">
        <f t="shared" si="264"/>
        <v>0</v>
      </c>
      <c r="AW297" s="150">
        <f t="shared" si="230"/>
        <v>0</v>
      </c>
      <c r="AX297" s="150">
        <f t="shared" si="231"/>
        <v>0</v>
      </c>
      <c r="AY297" s="150">
        <f t="shared" si="232"/>
        <v>0</v>
      </c>
      <c r="AZ297" s="150">
        <f t="shared" si="233"/>
        <v>0</v>
      </c>
      <c r="BA297" s="150">
        <f t="shared" si="265"/>
        <v>0</v>
      </c>
      <c r="BB297" s="150">
        <f t="shared" si="234"/>
        <v>0</v>
      </c>
      <c r="BC297" s="150">
        <f t="shared" si="235"/>
        <v>0</v>
      </c>
      <c r="BD297" s="150">
        <f t="shared" si="236"/>
        <v>0</v>
      </c>
      <c r="BE297" s="150">
        <f t="shared" si="237"/>
        <v>0</v>
      </c>
      <c r="BF297" s="150">
        <f t="shared" si="266"/>
        <v>0</v>
      </c>
      <c r="BG297" s="150">
        <f t="shared" si="238"/>
        <v>0</v>
      </c>
      <c r="BH297" s="150">
        <f t="shared" si="239"/>
        <v>0</v>
      </c>
      <c r="BI297" s="150">
        <f t="shared" si="240"/>
        <v>0</v>
      </c>
      <c r="BJ297" s="150">
        <f t="shared" si="241"/>
        <v>0</v>
      </c>
      <c r="BK297" s="150">
        <f t="shared" si="267"/>
        <v>11819</v>
      </c>
      <c r="BL297" s="150">
        <f t="shared" si="242"/>
        <v>59.1</v>
      </c>
      <c r="BM297" s="150">
        <f t="shared" si="243"/>
        <v>290.89999999999998</v>
      </c>
      <c r="BN297" s="150">
        <f t="shared" si="244"/>
        <v>920</v>
      </c>
      <c r="BO297" s="150">
        <f t="shared" si="245"/>
        <v>10608.1</v>
      </c>
      <c r="BP297" s="150">
        <f t="shared" si="268"/>
        <v>12000</v>
      </c>
      <c r="BQ297" s="150">
        <f t="shared" si="246"/>
        <v>50</v>
      </c>
      <c r="BR297" s="150">
        <f t="shared" si="247"/>
        <v>0</v>
      </c>
      <c r="BS297" s="150">
        <f t="shared" si="248"/>
        <v>0</v>
      </c>
      <c r="BT297" s="150">
        <f t="shared" si="249"/>
        <v>12000</v>
      </c>
      <c r="BU297" s="150">
        <f t="shared" si="269"/>
        <v>0</v>
      </c>
      <c r="BV297" s="150">
        <f t="shared" si="250"/>
        <v>0</v>
      </c>
      <c r="BW297" s="150">
        <f t="shared" si="251"/>
        <v>0</v>
      </c>
      <c r="BX297" s="150">
        <f t="shared" si="252"/>
        <v>0</v>
      </c>
      <c r="BY297" s="150">
        <f t="shared" si="253"/>
        <v>0</v>
      </c>
      <c r="BZ297" s="147">
        <f t="shared" si="270"/>
        <v>920</v>
      </c>
      <c r="CA297" s="147">
        <f t="shared" si="271"/>
        <v>226221.21000000011</v>
      </c>
    </row>
    <row r="298" spans="11:79">
      <c r="K298" s="132">
        <f t="shared" si="254"/>
        <v>246</v>
      </c>
      <c r="L298" s="148">
        <f t="shared" si="204"/>
        <v>53143</v>
      </c>
      <c r="M298" s="131">
        <f t="shared" si="255"/>
        <v>0</v>
      </c>
      <c r="N298" s="131">
        <f t="shared" si="205"/>
        <v>0</v>
      </c>
      <c r="O298" s="131">
        <f t="shared" si="206"/>
        <v>0</v>
      </c>
      <c r="P298" s="131">
        <f t="shared" si="207"/>
        <v>0</v>
      </c>
      <c r="Q298" s="131">
        <f t="shared" si="208"/>
        <v>0</v>
      </c>
      <c r="R298" s="131">
        <f t="shared" si="256"/>
        <v>0</v>
      </c>
      <c r="S298" s="131">
        <f t="shared" si="209"/>
        <v>0</v>
      </c>
      <c r="T298" s="131">
        <f t="shared" si="210"/>
        <v>0</v>
      </c>
      <c r="U298" s="131">
        <f t="shared" si="211"/>
        <v>0</v>
      </c>
      <c r="V298" s="131">
        <f t="shared" si="212"/>
        <v>0</v>
      </c>
      <c r="W298" s="131">
        <f t="shared" si="257"/>
        <v>0</v>
      </c>
      <c r="X298" s="131">
        <f t="shared" si="213"/>
        <v>0</v>
      </c>
      <c r="Y298" s="131">
        <f t="shared" si="214"/>
        <v>0</v>
      </c>
      <c r="Z298" s="131">
        <f t="shared" si="215"/>
        <v>0</v>
      </c>
      <c r="AA298" s="131">
        <f t="shared" si="216"/>
        <v>0</v>
      </c>
      <c r="AB298" s="131">
        <f t="shared" si="258"/>
        <v>15539.43</v>
      </c>
      <c r="AC298" s="131">
        <f t="shared" si="217"/>
        <v>77.7</v>
      </c>
      <c r="AD298" s="131">
        <f t="shared" si="218"/>
        <v>272.3</v>
      </c>
      <c r="AE298" s="131">
        <f t="shared" si="219"/>
        <v>970</v>
      </c>
      <c r="AF298" s="131">
        <f t="shared" si="220"/>
        <v>14297.13</v>
      </c>
      <c r="AG298" s="131">
        <f t="shared" si="259"/>
        <v>0</v>
      </c>
      <c r="AH298" s="131">
        <f t="shared" si="221"/>
        <v>0</v>
      </c>
      <c r="AI298" s="131">
        <f t="shared" si="222"/>
        <v>0</v>
      </c>
      <c r="AJ298" s="131">
        <f t="shared" si="223"/>
        <v>0</v>
      </c>
      <c r="AK298" s="131">
        <f t="shared" si="224"/>
        <v>0</v>
      </c>
      <c r="AL298" s="131">
        <f t="shared" si="260"/>
        <v>0</v>
      </c>
      <c r="AM298" s="131">
        <f t="shared" si="225"/>
        <v>0</v>
      </c>
      <c r="AN298" s="131">
        <f t="shared" si="226"/>
        <v>0</v>
      </c>
      <c r="AO298" s="131">
        <f t="shared" si="227"/>
        <v>0</v>
      </c>
      <c r="AP298" s="131">
        <f t="shared" si="228"/>
        <v>0</v>
      </c>
      <c r="AQ298" s="149">
        <f t="shared" si="261"/>
        <v>970</v>
      </c>
      <c r="AR298" s="149">
        <f t="shared" si="262"/>
        <v>237613.43000000046</v>
      </c>
      <c r="AS298" s="133"/>
      <c r="AT298" s="132">
        <f t="shared" si="263"/>
        <v>246</v>
      </c>
      <c r="AU298" s="148">
        <f t="shared" si="229"/>
        <v>53143</v>
      </c>
      <c r="AV298" s="131">
        <f t="shared" si="264"/>
        <v>0</v>
      </c>
      <c r="AW298" s="131">
        <f t="shared" si="230"/>
        <v>0</v>
      </c>
      <c r="AX298" s="131">
        <f t="shared" si="231"/>
        <v>0</v>
      </c>
      <c r="AY298" s="131">
        <f t="shared" si="232"/>
        <v>0</v>
      </c>
      <c r="AZ298" s="131">
        <f t="shared" si="233"/>
        <v>0</v>
      </c>
      <c r="BA298" s="131">
        <f t="shared" si="265"/>
        <v>0</v>
      </c>
      <c r="BB298" s="131">
        <f t="shared" si="234"/>
        <v>0</v>
      </c>
      <c r="BC298" s="131">
        <f t="shared" si="235"/>
        <v>0</v>
      </c>
      <c r="BD298" s="131">
        <f t="shared" si="236"/>
        <v>0</v>
      </c>
      <c r="BE298" s="131">
        <f t="shared" si="237"/>
        <v>0</v>
      </c>
      <c r="BF298" s="131">
        <f t="shared" si="266"/>
        <v>0</v>
      </c>
      <c r="BG298" s="131">
        <f t="shared" si="238"/>
        <v>0</v>
      </c>
      <c r="BH298" s="131">
        <f t="shared" si="239"/>
        <v>0</v>
      </c>
      <c r="BI298" s="131">
        <f t="shared" si="240"/>
        <v>0</v>
      </c>
      <c r="BJ298" s="131">
        <f t="shared" si="241"/>
        <v>0</v>
      </c>
      <c r="BK298" s="131">
        <f t="shared" si="267"/>
        <v>10608.1</v>
      </c>
      <c r="BL298" s="131">
        <f t="shared" si="242"/>
        <v>53.04</v>
      </c>
      <c r="BM298" s="131">
        <f t="shared" si="243"/>
        <v>296.95999999999998</v>
      </c>
      <c r="BN298" s="131">
        <f t="shared" si="244"/>
        <v>920</v>
      </c>
      <c r="BO298" s="131">
        <f t="shared" si="245"/>
        <v>9391.14</v>
      </c>
      <c r="BP298" s="131">
        <f t="shared" si="268"/>
        <v>12000</v>
      </c>
      <c r="BQ298" s="131">
        <f t="shared" si="246"/>
        <v>50</v>
      </c>
      <c r="BR298" s="131">
        <f t="shared" si="247"/>
        <v>0</v>
      </c>
      <c r="BS298" s="131">
        <f t="shared" si="248"/>
        <v>0</v>
      </c>
      <c r="BT298" s="131">
        <f t="shared" si="249"/>
        <v>12000</v>
      </c>
      <c r="BU298" s="131">
        <f t="shared" si="269"/>
        <v>0</v>
      </c>
      <c r="BV298" s="131">
        <f t="shared" si="250"/>
        <v>0</v>
      </c>
      <c r="BW298" s="131">
        <f t="shared" si="251"/>
        <v>0</v>
      </c>
      <c r="BX298" s="131">
        <f t="shared" si="252"/>
        <v>0</v>
      </c>
      <c r="BY298" s="131">
        <f t="shared" si="253"/>
        <v>0</v>
      </c>
      <c r="BZ298" s="147">
        <f t="shared" si="270"/>
        <v>920</v>
      </c>
      <c r="CA298" s="147">
        <f t="shared" si="271"/>
        <v>226324.25000000012</v>
      </c>
    </row>
    <row r="299" spans="11:79">
      <c r="K299" s="152">
        <f t="shared" si="254"/>
        <v>247</v>
      </c>
      <c r="L299" s="151">
        <f t="shared" si="204"/>
        <v>53174</v>
      </c>
      <c r="M299" s="150">
        <f t="shared" si="255"/>
        <v>0</v>
      </c>
      <c r="N299" s="150">
        <f t="shared" si="205"/>
        <v>0</v>
      </c>
      <c r="O299" s="150">
        <f t="shared" si="206"/>
        <v>0</v>
      </c>
      <c r="P299" s="150">
        <f t="shared" si="207"/>
        <v>0</v>
      </c>
      <c r="Q299" s="150">
        <f t="shared" si="208"/>
        <v>0</v>
      </c>
      <c r="R299" s="150">
        <f t="shared" si="256"/>
        <v>0</v>
      </c>
      <c r="S299" s="150">
        <f t="shared" si="209"/>
        <v>0</v>
      </c>
      <c r="T299" s="150">
        <f t="shared" si="210"/>
        <v>0</v>
      </c>
      <c r="U299" s="150">
        <f t="shared" si="211"/>
        <v>0</v>
      </c>
      <c r="V299" s="150">
        <f t="shared" si="212"/>
        <v>0</v>
      </c>
      <c r="W299" s="150">
        <f t="shared" si="257"/>
        <v>0</v>
      </c>
      <c r="X299" s="150">
        <f t="shared" si="213"/>
        <v>0</v>
      </c>
      <c r="Y299" s="150">
        <f t="shared" si="214"/>
        <v>0</v>
      </c>
      <c r="Z299" s="150">
        <f t="shared" si="215"/>
        <v>0</v>
      </c>
      <c r="AA299" s="150">
        <f t="shared" si="216"/>
        <v>0</v>
      </c>
      <c r="AB299" s="150">
        <f t="shared" si="258"/>
        <v>14297.13</v>
      </c>
      <c r="AC299" s="150">
        <f t="shared" si="217"/>
        <v>71.489999999999995</v>
      </c>
      <c r="AD299" s="150">
        <f t="shared" si="218"/>
        <v>278.51</v>
      </c>
      <c r="AE299" s="150">
        <f t="shared" si="219"/>
        <v>970</v>
      </c>
      <c r="AF299" s="150">
        <f t="shared" si="220"/>
        <v>13048.62</v>
      </c>
      <c r="AG299" s="150">
        <f t="shared" si="259"/>
        <v>0</v>
      </c>
      <c r="AH299" s="150">
        <f t="shared" si="221"/>
        <v>0</v>
      </c>
      <c r="AI299" s="150">
        <f t="shared" si="222"/>
        <v>0</v>
      </c>
      <c r="AJ299" s="150">
        <f t="shared" si="223"/>
        <v>0</v>
      </c>
      <c r="AK299" s="150">
        <f t="shared" si="224"/>
        <v>0</v>
      </c>
      <c r="AL299" s="150">
        <f t="shared" si="260"/>
        <v>0</v>
      </c>
      <c r="AM299" s="150">
        <f t="shared" si="225"/>
        <v>0</v>
      </c>
      <c r="AN299" s="150">
        <f t="shared" si="226"/>
        <v>0</v>
      </c>
      <c r="AO299" s="150">
        <f t="shared" si="227"/>
        <v>0</v>
      </c>
      <c r="AP299" s="150">
        <f t="shared" si="228"/>
        <v>0</v>
      </c>
      <c r="AQ299" s="149">
        <f t="shared" si="261"/>
        <v>970</v>
      </c>
      <c r="AR299" s="149">
        <f t="shared" si="262"/>
        <v>237684.92000000045</v>
      </c>
      <c r="AS299" s="133"/>
      <c r="AT299" s="152">
        <f t="shared" si="263"/>
        <v>247</v>
      </c>
      <c r="AU299" s="151">
        <f t="shared" si="229"/>
        <v>53174</v>
      </c>
      <c r="AV299" s="150">
        <f t="shared" si="264"/>
        <v>0</v>
      </c>
      <c r="AW299" s="150">
        <f t="shared" si="230"/>
        <v>0</v>
      </c>
      <c r="AX299" s="150">
        <f t="shared" si="231"/>
        <v>0</v>
      </c>
      <c r="AY299" s="150">
        <f t="shared" si="232"/>
        <v>0</v>
      </c>
      <c r="AZ299" s="150">
        <f t="shared" si="233"/>
        <v>0</v>
      </c>
      <c r="BA299" s="150">
        <f t="shared" si="265"/>
        <v>0</v>
      </c>
      <c r="BB299" s="150">
        <f t="shared" si="234"/>
        <v>0</v>
      </c>
      <c r="BC299" s="150">
        <f t="shared" si="235"/>
        <v>0</v>
      </c>
      <c r="BD299" s="150">
        <f t="shared" si="236"/>
        <v>0</v>
      </c>
      <c r="BE299" s="150">
        <f t="shared" si="237"/>
        <v>0</v>
      </c>
      <c r="BF299" s="150">
        <f t="shared" si="266"/>
        <v>0</v>
      </c>
      <c r="BG299" s="150">
        <f t="shared" si="238"/>
        <v>0</v>
      </c>
      <c r="BH299" s="150">
        <f t="shared" si="239"/>
        <v>0</v>
      </c>
      <c r="BI299" s="150">
        <f t="shared" si="240"/>
        <v>0</v>
      </c>
      <c r="BJ299" s="150">
        <f t="shared" si="241"/>
        <v>0</v>
      </c>
      <c r="BK299" s="150">
        <f t="shared" si="267"/>
        <v>9391.14</v>
      </c>
      <c r="BL299" s="150">
        <f t="shared" si="242"/>
        <v>46.96</v>
      </c>
      <c r="BM299" s="150">
        <f t="shared" si="243"/>
        <v>303.04000000000002</v>
      </c>
      <c r="BN299" s="150">
        <f t="shared" si="244"/>
        <v>920</v>
      </c>
      <c r="BO299" s="150">
        <f t="shared" si="245"/>
        <v>8168.1</v>
      </c>
      <c r="BP299" s="150">
        <f t="shared" si="268"/>
        <v>12000</v>
      </c>
      <c r="BQ299" s="150">
        <f t="shared" si="246"/>
        <v>50</v>
      </c>
      <c r="BR299" s="150">
        <f t="shared" si="247"/>
        <v>0</v>
      </c>
      <c r="BS299" s="150">
        <f t="shared" si="248"/>
        <v>0</v>
      </c>
      <c r="BT299" s="150">
        <f t="shared" si="249"/>
        <v>12000</v>
      </c>
      <c r="BU299" s="150">
        <f t="shared" si="269"/>
        <v>0</v>
      </c>
      <c r="BV299" s="150">
        <f t="shared" si="250"/>
        <v>0</v>
      </c>
      <c r="BW299" s="150">
        <f t="shared" si="251"/>
        <v>0</v>
      </c>
      <c r="BX299" s="150">
        <f t="shared" si="252"/>
        <v>0</v>
      </c>
      <c r="BY299" s="150">
        <f t="shared" si="253"/>
        <v>0</v>
      </c>
      <c r="BZ299" s="147">
        <f t="shared" si="270"/>
        <v>920</v>
      </c>
      <c r="CA299" s="147">
        <f t="shared" si="271"/>
        <v>226421.21000000011</v>
      </c>
    </row>
    <row r="300" spans="11:79">
      <c r="K300" s="132">
        <f t="shared" si="254"/>
        <v>248</v>
      </c>
      <c r="L300" s="148">
        <f t="shared" si="204"/>
        <v>53205</v>
      </c>
      <c r="M300" s="131">
        <f t="shared" si="255"/>
        <v>0</v>
      </c>
      <c r="N300" s="131">
        <f t="shared" si="205"/>
        <v>0</v>
      </c>
      <c r="O300" s="131">
        <f t="shared" si="206"/>
        <v>0</v>
      </c>
      <c r="P300" s="131">
        <f t="shared" si="207"/>
        <v>0</v>
      </c>
      <c r="Q300" s="131">
        <f t="shared" si="208"/>
        <v>0</v>
      </c>
      <c r="R300" s="131">
        <f t="shared" si="256"/>
        <v>0</v>
      </c>
      <c r="S300" s="131">
        <f t="shared" si="209"/>
        <v>0</v>
      </c>
      <c r="T300" s="131">
        <f t="shared" si="210"/>
        <v>0</v>
      </c>
      <c r="U300" s="131">
        <f t="shared" si="211"/>
        <v>0</v>
      </c>
      <c r="V300" s="131">
        <f t="shared" si="212"/>
        <v>0</v>
      </c>
      <c r="W300" s="131">
        <f t="shared" si="257"/>
        <v>0</v>
      </c>
      <c r="X300" s="131">
        <f t="shared" si="213"/>
        <v>0</v>
      </c>
      <c r="Y300" s="131">
        <f t="shared" si="214"/>
        <v>0</v>
      </c>
      <c r="Z300" s="131">
        <f t="shared" si="215"/>
        <v>0</v>
      </c>
      <c r="AA300" s="131">
        <f t="shared" si="216"/>
        <v>0</v>
      </c>
      <c r="AB300" s="131">
        <f t="shared" si="258"/>
        <v>13048.62</v>
      </c>
      <c r="AC300" s="131">
        <f t="shared" si="217"/>
        <v>65.239999999999995</v>
      </c>
      <c r="AD300" s="131">
        <f t="shared" si="218"/>
        <v>284.76</v>
      </c>
      <c r="AE300" s="131">
        <f t="shared" si="219"/>
        <v>970</v>
      </c>
      <c r="AF300" s="131">
        <f t="shared" si="220"/>
        <v>11793.86</v>
      </c>
      <c r="AG300" s="131">
        <f t="shared" si="259"/>
        <v>0</v>
      </c>
      <c r="AH300" s="131">
        <f t="shared" si="221"/>
        <v>0</v>
      </c>
      <c r="AI300" s="131">
        <f t="shared" si="222"/>
        <v>0</v>
      </c>
      <c r="AJ300" s="131">
        <f t="shared" si="223"/>
        <v>0</v>
      </c>
      <c r="AK300" s="131">
        <f t="shared" si="224"/>
        <v>0</v>
      </c>
      <c r="AL300" s="131">
        <f t="shared" si="260"/>
        <v>0</v>
      </c>
      <c r="AM300" s="131">
        <f t="shared" si="225"/>
        <v>0</v>
      </c>
      <c r="AN300" s="131">
        <f t="shared" si="226"/>
        <v>0</v>
      </c>
      <c r="AO300" s="131">
        <f t="shared" si="227"/>
        <v>0</v>
      </c>
      <c r="AP300" s="131">
        <f t="shared" si="228"/>
        <v>0</v>
      </c>
      <c r="AQ300" s="149">
        <f t="shared" si="261"/>
        <v>970</v>
      </c>
      <c r="AR300" s="149">
        <f t="shared" si="262"/>
        <v>237750.16000000044</v>
      </c>
      <c r="AS300" s="133"/>
      <c r="AT300" s="132">
        <f t="shared" si="263"/>
        <v>248</v>
      </c>
      <c r="AU300" s="148">
        <f t="shared" si="229"/>
        <v>53205</v>
      </c>
      <c r="AV300" s="131">
        <f t="shared" si="264"/>
        <v>0</v>
      </c>
      <c r="AW300" s="131">
        <f t="shared" si="230"/>
        <v>0</v>
      </c>
      <c r="AX300" s="131">
        <f t="shared" si="231"/>
        <v>0</v>
      </c>
      <c r="AY300" s="131">
        <f t="shared" si="232"/>
        <v>0</v>
      </c>
      <c r="AZ300" s="131">
        <f t="shared" si="233"/>
        <v>0</v>
      </c>
      <c r="BA300" s="131">
        <f t="shared" si="265"/>
        <v>0</v>
      </c>
      <c r="BB300" s="131">
        <f t="shared" si="234"/>
        <v>0</v>
      </c>
      <c r="BC300" s="131">
        <f t="shared" si="235"/>
        <v>0</v>
      </c>
      <c r="BD300" s="131">
        <f t="shared" si="236"/>
        <v>0</v>
      </c>
      <c r="BE300" s="131">
        <f t="shared" si="237"/>
        <v>0</v>
      </c>
      <c r="BF300" s="131">
        <f t="shared" si="266"/>
        <v>0</v>
      </c>
      <c r="BG300" s="131">
        <f t="shared" si="238"/>
        <v>0</v>
      </c>
      <c r="BH300" s="131">
        <f t="shared" si="239"/>
        <v>0</v>
      </c>
      <c r="BI300" s="131">
        <f t="shared" si="240"/>
        <v>0</v>
      </c>
      <c r="BJ300" s="131">
        <f t="shared" si="241"/>
        <v>0</v>
      </c>
      <c r="BK300" s="131">
        <f t="shared" si="267"/>
        <v>8168.1</v>
      </c>
      <c r="BL300" s="131">
        <f t="shared" si="242"/>
        <v>40.840000000000003</v>
      </c>
      <c r="BM300" s="131">
        <f t="shared" si="243"/>
        <v>309.15999999999997</v>
      </c>
      <c r="BN300" s="131">
        <f t="shared" si="244"/>
        <v>920</v>
      </c>
      <c r="BO300" s="131">
        <f t="shared" si="245"/>
        <v>6938.94</v>
      </c>
      <c r="BP300" s="131">
        <f t="shared" si="268"/>
        <v>12000</v>
      </c>
      <c r="BQ300" s="131">
        <f t="shared" si="246"/>
        <v>50</v>
      </c>
      <c r="BR300" s="131">
        <f t="shared" si="247"/>
        <v>0</v>
      </c>
      <c r="BS300" s="131">
        <f t="shared" si="248"/>
        <v>0</v>
      </c>
      <c r="BT300" s="131">
        <f t="shared" si="249"/>
        <v>12000</v>
      </c>
      <c r="BU300" s="131">
        <f t="shared" si="269"/>
        <v>0</v>
      </c>
      <c r="BV300" s="131">
        <f t="shared" si="250"/>
        <v>0</v>
      </c>
      <c r="BW300" s="131">
        <f t="shared" si="251"/>
        <v>0</v>
      </c>
      <c r="BX300" s="131">
        <f t="shared" si="252"/>
        <v>0</v>
      </c>
      <c r="BY300" s="131">
        <f t="shared" si="253"/>
        <v>0</v>
      </c>
      <c r="BZ300" s="147">
        <f t="shared" si="270"/>
        <v>920</v>
      </c>
      <c r="CA300" s="147">
        <f t="shared" si="271"/>
        <v>226512.0500000001</v>
      </c>
    </row>
    <row r="301" spans="11:79">
      <c r="K301" s="152">
        <f t="shared" si="254"/>
        <v>249</v>
      </c>
      <c r="L301" s="151">
        <f t="shared" si="204"/>
        <v>53235</v>
      </c>
      <c r="M301" s="150">
        <f t="shared" si="255"/>
        <v>0</v>
      </c>
      <c r="N301" s="150">
        <f t="shared" si="205"/>
        <v>0</v>
      </c>
      <c r="O301" s="150">
        <f t="shared" si="206"/>
        <v>0</v>
      </c>
      <c r="P301" s="150">
        <f t="shared" si="207"/>
        <v>0</v>
      </c>
      <c r="Q301" s="150">
        <f t="shared" si="208"/>
        <v>0</v>
      </c>
      <c r="R301" s="150">
        <f t="shared" si="256"/>
        <v>0</v>
      </c>
      <c r="S301" s="150">
        <f t="shared" si="209"/>
        <v>0</v>
      </c>
      <c r="T301" s="150">
        <f t="shared" si="210"/>
        <v>0</v>
      </c>
      <c r="U301" s="150">
        <f t="shared" si="211"/>
        <v>0</v>
      </c>
      <c r="V301" s="150">
        <f t="shared" si="212"/>
        <v>0</v>
      </c>
      <c r="W301" s="150">
        <f t="shared" si="257"/>
        <v>0</v>
      </c>
      <c r="X301" s="150">
        <f t="shared" si="213"/>
        <v>0</v>
      </c>
      <c r="Y301" s="150">
        <f t="shared" si="214"/>
        <v>0</v>
      </c>
      <c r="Z301" s="150">
        <f t="shared" si="215"/>
        <v>0</v>
      </c>
      <c r="AA301" s="150">
        <f t="shared" si="216"/>
        <v>0</v>
      </c>
      <c r="AB301" s="150">
        <f t="shared" si="258"/>
        <v>11793.86</v>
      </c>
      <c r="AC301" s="150">
        <f t="shared" si="217"/>
        <v>58.97</v>
      </c>
      <c r="AD301" s="150">
        <f t="shared" si="218"/>
        <v>291.02999999999997</v>
      </c>
      <c r="AE301" s="150">
        <f t="shared" si="219"/>
        <v>970</v>
      </c>
      <c r="AF301" s="150">
        <f t="shared" si="220"/>
        <v>10532.83</v>
      </c>
      <c r="AG301" s="150">
        <f t="shared" si="259"/>
        <v>0</v>
      </c>
      <c r="AH301" s="150">
        <f t="shared" si="221"/>
        <v>0</v>
      </c>
      <c r="AI301" s="150">
        <f t="shared" si="222"/>
        <v>0</v>
      </c>
      <c r="AJ301" s="150">
        <f t="shared" si="223"/>
        <v>0</v>
      </c>
      <c r="AK301" s="150">
        <f t="shared" si="224"/>
        <v>0</v>
      </c>
      <c r="AL301" s="150">
        <f t="shared" si="260"/>
        <v>0</v>
      </c>
      <c r="AM301" s="150">
        <f t="shared" si="225"/>
        <v>0</v>
      </c>
      <c r="AN301" s="150">
        <f t="shared" si="226"/>
        <v>0</v>
      </c>
      <c r="AO301" s="150">
        <f t="shared" si="227"/>
        <v>0</v>
      </c>
      <c r="AP301" s="150">
        <f t="shared" si="228"/>
        <v>0</v>
      </c>
      <c r="AQ301" s="149">
        <f t="shared" si="261"/>
        <v>970</v>
      </c>
      <c r="AR301" s="149">
        <f t="shared" si="262"/>
        <v>237809.13000000044</v>
      </c>
      <c r="AS301" s="133"/>
      <c r="AT301" s="152">
        <f t="shared" si="263"/>
        <v>249</v>
      </c>
      <c r="AU301" s="151">
        <f t="shared" si="229"/>
        <v>53235</v>
      </c>
      <c r="AV301" s="150">
        <f t="shared" si="264"/>
        <v>0</v>
      </c>
      <c r="AW301" s="150">
        <f t="shared" si="230"/>
        <v>0</v>
      </c>
      <c r="AX301" s="150">
        <f t="shared" si="231"/>
        <v>0</v>
      </c>
      <c r="AY301" s="150">
        <f t="shared" si="232"/>
        <v>0</v>
      </c>
      <c r="AZ301" s="150">
        <f t="shared" si="233"/>
        <v>0</v>
      </c>
      <c r="BA301" s="150">
        <f t="shared" si="265"/>
        <v>0</v>
      </c>
      <c r="BB301" s="150">
        <f t="shared" si="234"/>
        <v>0</v>
      </c>
      <c r="BC301" s="150">
        <f t="shared" si="235"/>
        <v>0</v>
      </c>
      <c r="BD301" s="150">
        <f t="shared" si="236"/>
        <v>0</v>
      </c>
      <c r="BE301" s="150">
        <f t="shared" si="237"/>
        <v>0</v>
      </c>
      <c r="BF301" s="150">
        <f t="shared" si="266"/>
        <v>0</v>
      </c>
      <c r="BG301" s="150">
        <f t="shared" si="238"/>
        <v>0</v>
      </c>
      <c r="BH301" s="150">
        <f t="shared" si="239"/>
        <v>0</v>
      </c>
      <c r="BI301" s="150">
        <f t="shared" si="240"/>
        <v>0</v>
      </c>
      <c r="BJ301" s="150">
        <f t="shared" si="241"/>
        <v>0</v>
      </c>
      <c r="BK301" s="150">
        <f t="shared" si="267"/>
        <v>6938.94</v>
      </c>
      <c r="BL301" s="150">
        <f t="shared" si="242"/>
        <v>34.69</v>
      </c>
      <c r="BM301" s="150">
        <f t="shared" si="243"/>
        <v>315.31</v>
      </c>
      <c r="BN301" s="150">
        <f t="shared" si="244"/>
        <v>920</v>
      </c>
      <c r="BO301" s="150">
        <f t="shared" si="245"/>
        <v>5703.63</v>
      </c>
      <c r="BP301" s="150">
        <f t="shared" si="268"/>
        <v>12000</v>
      </c>
      <c r="BQ301" s="150">
        <f t="shared" si="246"/>
        <v>50</v>
      </c>
      <c r="BR301" s="150">
        <f t="shared" si="247"/>
        <v>0</v>
      </c>
      <c r="BS301" s="150">
        <f t="shared" si="248"/>
        <v>0</v>
      </c>
      <c r="BT301" s="150">
        <f t="shared" si="249"/>
        <v>12000</v>
      </c>
      <c r="BU301" s="150">
        <f t="shared" si="269"/>
        <v>0</v>
      </c>
      <c r="BV301" s="150">
        <f t="shared" si="250"/>
        <v>0</v>
      </c>
      <c r="BW301" s="150">
        <f t="shared" si="251"/>
        <v>0</v>
      </c>
      <c r="BX301" s="150">
        <f t="shared" si="252"/>
        <v>0</v>
      </c>
      <c r="BY301" s="150">
        <f t="shared" si="253"/>
        <v>0</v>
      </c>
      <c r="BZ301" s="147">
        <f t="shared" si="270"/>
        <v>920</v>
      </c>
      <c r="CA301" s="147">
        <f t="shared" si="271"/>
        <v>226596.74000000011</v>
      </c>
    </row>
    <row r="302" spans="11:79">
      <c r="K302" s="132">
        <f t="shared" si="254"/>
        <v>250</v>
      </c>
      <c r="L302" s="148">
        <f t="shared" si="204"/>
        <v>53266</v>
      </c>
      <c r="M302" s="131">
        <f t="shared" si="255"/>
        <v>0</v>
      </c>
      <c r="N302" s="131">
        <f t="shared" si="205"/>
        <v>0</v>
      </c>
      <c r="O302" s="131">
        <f t="shared" si="206"/>
        <v>0</v>
      </c>
      <c r="P302" s="131">
        <f t="shared" si="207"/>
        <v>0</v>
      </c>
      <c r="Q302" s="131">
        <f t="shared" si="208"/>
        <v>0</v>
      </c>
      <c r="R302" s="131">
        <f t="shared" si="256"/>
        <v>0</v>
      </c>
      <c r="S302" s="131">
        <f t="shared" si="209"/>
        <v>0</v>
      </c>
      <c r="T302" s="131">
        <f t="shared" si="210"/>
        <v>0</v>
      </c>
      <c r="U302" s="131">
        <f t="shared" si="211"/>
        <v>0</v>
      </c>
      <c r="V302" s="131">
        <f t="shared" si="212"/>
        <v>0</v>
      </c>
      <c r="W302" s="131">
        <f t="shared" si="257"/>
        <v>0</v>
      </c>
      <c r="X302" s="131">
        <f t="shared" si="213"/>
        <v>0</v>
      </c>
      <c r="Y302" s="131">
        <f t="shared" si="214"/>
        <v>0</v>
      </c>
      <c r="Z302" s="131">
        <f t="shared" si="215"/>
        <v>0</v>
      </c>
      <c r="AA302" s="131">
        <f t="shared" si="216"/>
        <v>0</v>
      </c>
      <c r="AB302" s="131">
        <f t="shared" si="258"/>
        <v>10532.83</v>
      </c>
      <c r="AC302" s="131">
        <f t="shared" si="217"/>
        <v>52.66</v>
      </c>
      <c r="AD302" s="131">
        <f t="shared" si="218"/>
        <v>297.34000000000003</v>
      </c>
      <c r="AE302" s="131">
        <f t="shared" si="219"/>
        <v>970</v>
      </c>
      <c r="AF302" s="131">
        <f t="shared" si="220"/>
        <v>9265.49</v>
      </c>
      <c r="AG302" s="131">
        <f t="shared" si="259"/>
        <v>0</v>
      </c>
      <c r="AH302" s="131">
        <f t="shared" si="221"/>
        <v>0</v>
      </c>
      <c r="AI302" s="131">
        <f t="shared" si="222"/>
        <v>0</v>
      </c>
      <c r="AJ302" s="131">
        <f t="shared" si="223"/>
        <v>0</v>
      </c>
      <c r="AK302" s="131">
        <f t="shared" si="224"/>
        <v>0</v>
      </c>
      <c r="AL302" s="131">
        <f t="shared" si="260"/>
        <v>0</v>
      </c>
      <c r="AM302" s="131">
        <f t="shared" si="225"/>
        <v>0</v>
      </c>
      <c r="AN302" s="131">
        <f t="shared" si="226"/>
        <v>0</v>
      </c>
      <c r="AO302" s="131">
        <f t="shared" si="227"/>
        <v>0</v>
      </c>
      <c r="AP302" s="131">
        <f t="shared" si="228"/>
        <v>0</v>
      </c>
      <c r="AQ302" s="149">
        <f t="shared" si="261"/>
        <v>970</v>
      </c>
      <c r="AR302" s="149">
        <f t="shared" si="262"/>
        <v>237861.79000000044</v>
      </c>
      <c r="AS302" s="133"/>
      <c r="AT302" s="132">
        <f t="shared" si="263"/>
        <v>250</v>
      </c>
      <c r="AU302" s="148">
        <f t="shared" si="229"/>
        <v>53266</v>
      </c>
      <c r="AV302" s="131">
        <f t="shared" si="264"/>
        <v>0</v>
      </c>
      <c r="AW302" s="131">
        <f t="shared" si="230"/>
        <v>0</v>
      </c>
      <c r="AX302" s="131">
        <f t="shared" si="231"/>
        <v>0</v>
      </c>
      <c r="AY302" s="131">
        <f t="shared" si="232"/>
        <v>0</v>
      </c>
      <c r="AZ302" s="131">
        <f t="shared" si="233"/>
        <v>0</v>
      </c>
      <c r="BA302" s="131">
        <f t="shared" si="265"/>
        <v>0</v>
      </c>
      <c r="BB302" s="131">
        <f t="shared" si="234"/>
        <v>0</v>
      </c>
      <c r="BC302" s="131">
        <f t="shared" si="235"/>
        <v>0</v>
      </c>
      <c r="BD302" s="131">
        <f t="shared" si="236"/>
        <v>0</v>
      </c>
      <c r="BE302" s="131">
        <f t="shared" si="237"/>
        <v>0</v>
      </c>
      <c r="BF302" s="131">
        <f t="shared" si="266"/>
        <v>0</v>
      </c>
      <c r="BG302" s="131">
        <f t="shared" si="238"/>
        <v>0</v>
      </c>
      <c r="BH302" s="131">
        <f t="shared" si="239"/>
        <v>0</v>
      </c>
      <c r="BI302" s="131">
        <f t="shared" si="240"/>
        <v>0</v>
      </c>
      <c r="BJ302" s="131">
        <f t="shared" si="241"/>
        <v>0</v>
      </c>
      <c r="BK302" s="131">
        <f t="shared" si="267"/>
        <v>5703.63</v>
      </c>
      <c r="BL302" s="131">
        <f t="shared" si="242"/>
        <v>28.52</v>
      </c>
      <c r="BM302" s="131">
        <f t="shared" si="243"/>
        <v>321.48</v>
      </c>
      <c r="BN302" s="131">
        <f t="shared" si="244"/>
        <v>920</v>
      </c>
      <c r="BO302" s="131">
        <f t="shared" si="245"/>
        <v>4462.1499999999996</v>
      </c>
      <c r="BP302" s="131">
        <f t="shared" si="268"/>
        <v>12000</v>
      </c>
      <c r="BQ302" s="131">
        <f t="shared" si="246"/>
        <v>50</v>
      </c>
      <c r="BR302" s="131">
        <f t="shared" si="247"/>
        <v>0</v>
      </c>
      <c r="BS302" s="131">
        <f t="shared" si="248"/>
        <v>0</v>
      </c>
      <c r="BT302" s="131">
        <f t="shared" si="249"/>
        <v>12000</v>
      </c>
      <c r="BU302" s="131">
        <f t="shared" si="269"/>
        <v>0</v>
      </c>
      <c r="BV302" s="131">
        <f t="shared" si="250"/>
        <v>0</v>
      </c>
      <c r="BW302" s="131">
        <f t="shared" si="251"/>
        <v>0</v>
      </c>
      <c r="BX302" s="131">
        <f t="shared" si="252"/>
        <v>0</v>
      </c>
      <c r="BY302" s="131">
        <f t="shared" si="253"/>
        <v>0</v>
      </c>
      <c r="BZ302" s="147">
        <f t="shared" si="270"/>
        <v>920</v>
      </c>
      <c r="CA302" s="147">
        <f t="shared" si="271"/>
        <v>226675.2600000001</v>
      </c>
    </row>
  </sheetData>
  <mergeCells count="52">
    <mergeCell ref="BU49:BY49"/>
    <mergeCell ref="B41:D41"/>
    <mergeCell ref="E41:F41"/>
    <mergeCell ref="B45:AR45"/>
    <mergeCell ref="B46:G47"/>
    <mergeCell ref="K48:AR48"/>
    <mergeCell ref="AT48:CB48"/>
    <mergeCell ref="M49:Q49"/>
    <mergeCell ref="R49:V49"/>
    <mergeCell ref="W49:AA49"/>
    <mergeCell ref="AB49:AF49"/>
    <mergeCell ref="AG49:AK49"/>
    <mergeCell ref="AL49:AP49"/>
    <mergeCell ref="AV49:AZ49"/>
    <mergeCell ref="BA49:BE49"/>
    <mergeCell ref="B39:D39"/>
    <mergeCell ref="E39:F39"/>
    <mergeCell ref="BF49:BJ49"/>
    <mergeCell ref="BK49:BO49"/>
    <mergeCell ref="BP49:BT49"/>
    <mergeCell ref="B35:D35"/>
    <mergeCell ref="E35:F35"/>
    <mergeCell ref="B36:D36"/>
    <mergeCell ref="E36:F36"/>
    <mergeCell ref="B38:D38"/>
    <mergeCell ref="E38:F38"/>
    <mergeCell ref="B31:D31"/>
    <mergeCell ref="E31:F31"/>
    <mergeCell ref="B32:D32"/>
    <mergeCell ref="E32:F32"/>
    <mergeCell ref="B33:D33"/>
    <mergeCell ref="E33:F33"/>
    <mergeCell ref="B5:D6"/>
    <mergeCell ref="B8:G8"/>
    <mergeCell ref="B25:D25"/>
    <mergeCell ref="E25:F25"/>
    <mergeCell ref="E5:G6"/>
    <mergeCell ref="B21:G22"/>
    <mergeCell ref="B43:G44"/>
    <mergeCell ref="B2:G3"/>
    <mergeCell ref="B11:G11"/>
    <mergeCell ref="B23:G23"/>
    <mergeCell ref="B24:D24"/>
    <mergeCell ref="E24:F24"/>
    <mergeCell ref="B26:D26"/>
    <mergeCell ref="E26:F26"/>
    <mergeCell ref="B27:D27"/>
    <mergeCell ref="E27:F27"/>
    <mergeCell ref="B28:D28"/>
    <mergeCell ref="E28:F28"/>
    <mergeCell ref="B30:D30"/>
    <mergeCell ref="E30:F30"/>
  </mergeCells>
  <conditionalFormatting sqref="K53:AR302">
    <cfRule type="expression" dxfId="13" priority="1">
      <formula>$K53=""</formula>
    </cfRule>
  </conditionalFormatting>
  <conditionalFormatting sqref="M53:Q302">
    <cfRule type="expression" dxfId="12" priority="3">
      <formula>$P53&gt;0</formula>
    </cfRule>
  </conditionalFormatting>
  <conditionalFormatting sqref="R53:V302">
    <cfRule type="expression" dxfId="11" priority="5">
      <formula>$U53&gt;0</formula>
    </cfRule>
  </conditionalFormatting>
  <conditionalFormatting sqref="W53:AA302">
    <cfRule type="expression" dxfId="10" priority="7">
      <formula>$Z53&gt;0</formula>
    </cfRule>
  </conditionalFormatting>
  <conditionalFormatting sqref="AB53:AF302">
    <cfRule type="expression" dxfId="9" priority="9">
      <formula>$AE53&gt;0</formula>
    </cfRule>
  </conditionalFormatting>
  <conditionalFormatting sqref="AG53:AK302">
    <cfRule type="expression" dxfId="8" priority="11">
      <formula>$AJ53&gt;0</formula>
    </cfRule>
  </conditionalFormatting>
  <conditionalFormatting sqref="AL53:AP302">
    <cfRule type="expression" dxfId="7" priority="13">
      <formula>$AO53&gt;0</formula>
    </cfRule>
  </conditionalFormatting>
  <conditionalFormatting sqref="AT53:CA302">
    <cfRule type="expression" dxfId="6" priority="2">
      <formula>$AT53=""</formula>
    </cfRule>
  </conditionalFormatting>
  <conditionalFormatting sqref="AV53:AZ302">
    <cfRule type="expression" dxfId="5" priority="4">
      <formula>$AY53&gt;0</formula>
    </cfRule>
  </conditionalFormatting>
  <conditionalFormatting sqref="BA53:BE302">
    <cfRule type="expression" dxfId="4" priority="6">
      <formula>$BD53&gt;0</formula>
    </cfRule>
  </conditionalFormatting>
  <conditionalFormatting sqref="BF53:BJ302">
    <cfRule type="expression" dxfId="3" priority="8">
      <formula>$BI53&gt;0</formula>
    </cfRule>
  </conditionalFormatting>
  <conditionalFormatting sqref="BK53:BO302">
    <cfRule type="expression" dxfId="2" priority="10">
      <formula>$BN53&gt;0</formula>
    </cfRule>
  </conditionalFormatting>
  <conditionalFormatting sqref="BP53:BT302">
    <cfRule type="expression" dxfId="1" priority="12">
      <formula>$BS53&gt;0</formula>
    </cfRule>
  </conditionalFormatting>
  <conditionalFormatting sqref="BU53:BY302">
    <cfRule type="expression" dxfId="0" priority="14">
      <formula>$BX53&gt;0</formula>
    </cfRule>
  </conditionalFormatting>
  <dataValidations count="1">
    <dataValidation type="whole" showErrorMessage="1" errorTitle="Invalid order" error="Please enter a number between 1 and 6" sqref="F13:G18" xr:uid="{00000000-0002-0000-0000-000000000000}">
      <formula1>1</formula1>
      <formula2>6</formula2>
    </dataValidation>
  </dataValidation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ABBF6-255C-4F33-BDC2-511E83D04996}">
  <sheetPr>
    <tabColor rgb="FF92D050"/>
  </sheetPr>
  <dimension ref="A1:Y650"/>
  <sheetViews>
    <sheetView showGridLines="0" zoomScaleNormal="100" workbookViewId="0">
      <selection sqref="A1:X1"/>
    </sheetView>
  </sheetViews>
  <sheetFormatPr defaultColWidth="8.5703125" defaultRowHeight="15"/>
  <cols>
    <col min="1" max="1" width="1.42578125" style="60" customWidth="1"/>
    <col min="2" max="2" width="40.28515625" style="60" bestFit="1" customWidth="1"/>
    <col min="3" max="3" width="13.5703125" style="60" bestFit="1" customWidth="1"/>
    <col min="4" max="4" width="2" style="60" customWidth="1"/>
    <col min="5" max="5" width="38.5703125" style="60" bestFit="1" customWidth="1"/>
    <col min="6" max="6" width="13.5703125" style="60" bestFit="1" customWidth="1"/>
    <col min="7" max="7" width="2" style="60" customWidth="1"/>
    <col min="8" max="8" width="5.7109375" style="60" bestFit="1" customWidth="1"/>
    <col min="9" max="9" width="8.7109375" style="60" bestFit="1" customWidth="1"/>
    <col min="10" max="10" width="14.7109375" style="60" bestFit="1" customWidth="1"/>
    <col min="11" max="11" width="7.42578125" style="60" bestFit="1" customWidth="1"/>
    <col min="12" max="12" width="12.7109375" style="60" bestFit="1" customWidth="1"/>
    <col min="13" max="13" width="11.28515625" style="60" bestFit="1" customWidth="1"/>
    <col min="14" max="14" width="8.85546875" style="60" bestFit="1" customWidth="1"/>
    <col min="15" max="15" width="14.140625" style="60" bestFit="1" customWidth="1"/>
    <col min="16" max="16" width="13.140625" style="60" bestFit="1" customWidth="1"/>
    <col min="17" max="17" width="5.7109375" style="60" bestFit="1" customWidth="1"/>
    <col min="18" max="18" width="8.7109375" style="60" bestFit="1" customWidth="1"/>
    <col min="19" max="19" width="14.7109375" style="60" bestFit="1" customWidth="1"/>
    <col min="20" max="20" width="8.85546875" style="60" bestFit="1" customWidth="1"/>
    <col min="21" max="21" width="12.7109375" style="60" bestFit="1" customWidth="1"/>
    <col min="22" max="22" width="11.28515625" style="60" bestFit="1" customWidth="1"/>
    <col min="23" max="23" width="8.85546875" style="60" bestFit="1" customWidth="1"/>
    <col min="24" max="24" width="14.140625" style="60" bestFit="1" customWidth="1"/>
    <col min="25" max="25" width="13.140625" style="60" bestFit="1" customWidth="1"/>
    <col min="26" max="16384" width="8.5703125" style="60"/>
  </cols>
  <sheetData>
    <row r="1" spans="1:24" ht="72.75" customHeight="1">
      <c r="A1" s="199" t="s">
        <v>268</v>
      </c>
      <c r="B1" s="199"/>
      <c r="C1" s="199"/>
      <c r="D1" s="199"/>
      <c r="E1" s="199"/>
      <c r="F1" s="199"/>
      <c r="G1" s="199"/>
      <c r="H1" s="199"/>
      <c r="I1" s="199"/>
      <c r="J1" s="199"/>
      <c r="K1" s="199"/>
      <c r="L1" s="199"/>
      <c r="M1" s="199"/>
      <c r="N1" s="199"/>
      <c r="O1" s="199"/>
      <c r="P1" s="199"/>
      <c r="Q1" s="199"/>
      <c r="R1" s="199"/>
      <c r="S1" s="199"/>
      <c r="T1" s="199"/>
      <c r="U1" s="199"/>
      <c r="V1" s="199"/>
      <c r="W1" s="199"/>
      <c r="X1" s="199"/>
    </row>
    <row r="2" spans="1:24">
      <c r="B2" s="198" t="s">
        <v>267</v>
      </c>
      <c r="C2" s="198"/>
      <c r="D2" s="198"/>
      <c r="E2" s="198"/>
      <c r="F2" s="198"/>
      <c r="G2" s="198"/>
      <c r="H2" s="198"/>
      <c r="I2" s="198"/>
      <c r="J2" s="198"/>
      <c r="K2" s="198"/>
      <c r="L2" s="198"/>
      <c r="M2" s="198"/>
      <c r="N2" s="198"/>
      <c r="O2" s="198"/>
    </row>
    <row r="4" spans="1:24">
      <c r="B4" s="195" t="s">
        <v>274</v>
      </c>
      <c r="C4" s="195"/>
      <c r="E4" s="195" t="s">
        <v>275</v>
      </c>
      <c r="F4" s="195"/>
    </row>
    <row r="5" spans="1:24">
      <c r="B5" s="197" t="s">
        <v>269</v>
      </c>
      <c r="C5" s="197"/>
      <c r="E5" s="196" t="s">
        <v>266</v>
      </c>
      <c r="F5" s="196"/>
    </row>
    <row r="6" spans="1:24">
      <c r="B6" s="104" t="s">
        <v>265</v>
      </c>
      <c r="C6" s="124">
        <f>'🔒 Debts'!D12</f>
        <v>345000</v>
      </c>
      <c r="E6" s="104" t="s">
        <v>265</v>
      </c>
      <c r="F6" s="123">
        <v>345000</v>
      </c>
    </row>
    <row r="7" spans="1:24" ht="15.75" thickBot="1">
      <c r="B7" s="101" t="s">
        <v>264</v>
      </c>
      <c r="C7" s="126">
        <f>'🔒 Debts'!F12</f>
        <v>2.01E-2</v>
      </c>
      <c r="E7" s="101" t="s">
        <v>264</v>
      </c>
      <c r="F7" s="125">
        <v>3.5000000000000003E-2</v>
      </c>
    </row>
    <row r="8" spans="1:24">
      <c r="B8" s="104" t="s">
        <v>271</v>
      </c>
      <c r="C8" s="127">
        <v>25</v>
      </c>
      <c r="E8" s="104" t="s">
        <v>263</v>
      </c>
      <c r="F8" s="167">
        <v>25</v>
      </c>
    </row>
    <row r="9" spans="1:24">
      <c r="B9" s="101" t="s">
        <v>270</v>
      </c>
      <c r="C9" s="128">
        <v>1</v>
      </c>
      <c r="E9" s="101" t="s">
        <v>262</v>
      </c>
      <c r="F9" s="168">
        <v>1</v>
      </c>
    </row>
    <row r="10" spans="1:24">
      <c r="B10" s="104" t="s">
        <v>272</v>
      </c>
      <c r="C10" s="128">
        <v>2023</v>
      </c>
      <c r="E10" s="104" t="s">
        <v>261</v>
      </c>
      <c r="F10" s="168">
        <v>2023</v>
      </c>
    </row>
    <row r="11" spans="1:24" ht="15.75" thickBot="1">
      <c r="B11" s="101" t="s">
        <v>273</v>
      </c>
      <c r="C11" s="129" t="s">
        <v>259</v>
      </c>
      <c r="E11" s="101" t="s">
        <v>260</v>
      </c>
      <c r="F11" s="169" t="s">
        <v>259</v>
      </c>
    </row>
    <row r="12" spans="1:24">
      <c r="B12" s="104" t="s">
        <v>258</v>
      </c>
      <c r="C12" s="124">
        <v>0</v>
      </c>
      <c r="E12" s="104" t="s">
        <v>258</v>
      </c>
      <c r="F12" s="123">
        <v>0</v>
      </c>
    </row>
    <row r="13" spans="1:24">
      <c r="B13" s="101" t="s">
        <v>257</v>
      </c>
      <c r="C13" s="124">
        <v>0</v>
      </c>
      <c r="E13" s="101" t="s">
        <v>257</v>
      </c>
      <c r="F13" s="123">
        <v>0</v>
      </c>
    </row>
    <row r="14" spans="1:24">
      <c r="B14" s="104" t="s">
        <v>256</v>
      </c>
      <c r="C14" s="122">
        <v>1</v>
      </c>
      <c r="E14" s="104" t="s">
        <v>256</v>
      </c>
      <c r="F14" s="121">
        <v>1</v>
      </c>
    </row>
    <row r="16" spans="1:24">
      <c r="B16" s="191" t="s">
        <v>255</v>
      </c>
      <c r="C16" s="191"/>
      <c r="E16" s="196" t="s">
        <v>255</v>
      </c>
      <c r="F16" s="196"/>
    </row>
    <row r="17" spans="2:6">
      <c r="B17" s="104" t="s">
        <v>254</v>
      </c>
      <c r="C17" s="141">
        <f>IF(UPPER(TRIM(C11))="INTEREST ONLY",C6*C7/12,IF(C7=0,C6/(C8*12),PMT(C7/12,C8*12,-C6)))</f>
        <v>1463.977651631486</v>
      </c>
      <c r="E17" s="104" t="s">
        <v>254</v>
      </c>
      <c r="F17" s="140">
        <f>IF(UPPER(TRIM(F11))="INTEREST ONLY",F6*F7/12,IF(F7=0,F6/(F8*12),PMT(F7/12,F8*12,-F6)))</f>
        <v>1727.1513173952505</v>
      </c>
    </row>
    <row r="18" spans="2:6">
      <c r="B18" s="101" t="s">
        <v>253</v>
      </c>
      <c r="C18" s="120">
        <f>C17+C12</f>
        <v>1463.977651631486</v>
      </c>
      <c r="E18" s="101" t="s">
        <v>253</v>
      </c>
      <c r="F18" s="120">
        <f>F17+F12</f>
        <v>1727.1513173952505</v>
      </c>
    </row>
    <row r="20" spans="2:6">
      <c r="B20" s="191" t="s">
        <v>276</v>
      </c>
      <c r="C20" s="191"/>
      <c r="E20" s="196" t="s">
        <v>276</v>
      </c>
      <c r="F20" s="196"/>
    </row>
    <row r="21" spans="2:6">
      <c r="B21" s="104" t="s">
        <v>243</v>
      </c>
      <c r="C21" s="119">
        <f>ROUND(SUM(K51:K650),2)</f>
        <v>94193.25</v>
      </c>
      <c r="E21" s="104" t="s">
        <v>243</v>
      </c>
      <c r="F21" s="119">
        <f>ROUND(SUM(T51:T650),2)</f>
        <v>173145.4</v>
      </c>
    </row>
    <row r="22" spans="2:6">
      <c r="B22" s="101" t="s">
        <v>242</v>
      </c>
      <c r="C22" s="69">
        <f>C6+C21</f>
        <v>439193.25</v>
      </c>
      <c r="E22" s="101" t="s">
        <v>242</v>
      </c>
      <c r="F22" s="69">
        <f>F6+F21</f>
        <v>518145.4</v>
      </c>
    </row>
    <row r="23" spans="2:6">
      <c r="B23" s="104" t="s">
        <v>241</v>
      </c>
      <c r="C23" s="118">
        <f>IFERROR(C21/C6,0)</f>
        <v>0.27302391304347828</v>
      </c>
      <c r="E23" s="104" t="s">
        <v>241</v>
      </c>
      <c r="F23" s="118">
        <f>IFERROR(F21/F6,0)</f>
        <v>0.50187072463768112</v>
      </c>
    </row>
    <row r="24" spans="2:6">
      <c r="B24" s="101" t="s">
        <v>252</v>
      </c>
      <c r="C24" s="117">
        <f>COUNTIF(O51:O650,"&gt;0.01")</f>
        <v>299</v>
      </c>
      <c r="E24" s="101" t="s">
        <v>252</v>
      </c>
      <c r="F24" s="117">
        <f>COUNTIF(X51:X650,"&gt;0.01")</f>
        <v>299</v>
      </c>
    </row>
    <row r="25" spans="2:6">
      <c r="B25" s="104" t="s">
        <v>251</v>
      </c>
      <c r="C25" s="116" t="str">
        <f>IFERROR(INT(C24/12)&amp;" yrs "&amp;MOD(C24,12)&amp;" mths","—")</f>
        <v>24 yrs 11 mths</v>
      </c>
      <c r="E25" s="104" t="s">
        <v>251</v>
      </c>
      <c r="F25" s="116" t="str">
        <f>IFERROR(INT(F24/12)&amp;" yrs "&amp;MOD(F24,12)&amp;" mths","—")</f>
        <v>24 yrs 11 mths</v>
      </c>
    </row>
    <row r="26" spans="2:6">
      <c r="B26" s="115" t="s">
        <v>239</v>
      </c>
      <c r="C26" s="124">
        <f ca="1">IFERROR(INDEX(O51:O650,MATCH(EOMONTH(TODAY(),0),I51:I650,1)),C6)</f>
        <v>306476.76863147784</v>
      </c>
      <c r="E26" s="114" t="s">
        <v>239</v>
      </c>
      <c r="F26" s="123">
        <f ca="1">IFERROR(INDEX(X51:X650,MATCH(EOMONTH(TODAY(),0),R51:R650,1)),F6)</f>
        <v>312839.33466939948</v>
      </c>
    </row>
    <row r="27" spans="2:6">
      <c r="B27" s="101" t="s">
        <v>250</v>
      </c>
      <c r="C27" s="113">
        <v>0.34052974292386429</v>
      </c>
      <c r="E27" s="101" t="s">
        <v>250</v>
      </c>
      <c r="F27" s="113">
        <v>0.83423822578506523</v>
      </c>
    </row>
    <row r="29" spans="2:6">
      <c r="B29" s="197" t="s">
        <v>249</v>
      </c>
      <c r="C29" s="197"/>
    </row>
    <row r="30" spans="2:6">
      <c r="B30" s="104" t="s">
        <v>248</v>
      </c>
      <c r="C30" s="112">
        <f>IFERROR(ABS(PMT(C7/12,C8*12,-C6)*C8*12-C6),0)</f>
        <v>94193.295489445794</v>
      </c>
    </row>
    <row r="31" spans="2:6">
      <c r="B31" s="101" t="s">
        <v>247</v>
      </c>
      <c r="C31" s="111">
        <f>IFERROR(C30-C21,0)</f>
        <v>4.5489445794373751E-2</v>
      </c>
    </row>
    <row r="32" spans="2:6">
      <c r="B32" s="104" t="s">
        <v>246</v>
      </c>
      <c r="C32" s="110">
        <f>MAX(0,C8*12-C24)</f>
        <v>1</v>
      </c>
    </row>
    <row r="33" spans="2:25">
      <c r="B33" s="99" t="s">
        <v>245</v>
      </c>
      <c r="C33" s="109" t="str">
        <f>IFERROR(INT(C32/12)&amp;" yrs "&amp;MOD(C32,12)&amp;" mths","—")</f>
        <v>0 yrs 1 mths</v>
      </c>
    </row>
    <row r="35" spans="2:25">
      <c r="B35" s="193" t="s">
        <v>244</v>
      </c>
      <c r="C35" s="193"/>
      <c r="D35" s="193"/>
      <c r="E35" s="193"/>
      <c r="F35" s="193"/>
    </row>
    <row r="36" spans="2:25">
      <c r="B36" s="101" t="s">
        <v>225</v>
      </c>
      <c r="C36" s="108">
        <f>C17</f>
        <v>1463.977651631486</v>
      </c>
      <c r="D36" s="66"/>
      <c r="E36" s="99" t="s">
        <v>225</v>
      </c>
      <c r="F36" s="107">
        <f>F17</f>
        <v>1727.1513173952505</v>
      </c>
    </row>
    <row r="37" spans="2:25">
      <c r="B37" s="104" t="s">
        <v>243</v>
      </c>
      <c r="C37" s="103">
        <f>C21</f>
        <v>94193.25</v>
      </c>
      <c r="D37" s="66"/>
      <c r="E37" s="70" t="s">
        <v>243</v>
      </c>
      <c r="F37" s="102">
        <f>F21</f>
        <v>173145.4</v>
      </c>
    </row>
    <row r="38" spans="2:25">
      <c r="B38" s="101" t="s">
        <v>242</v>
      </c>
      <c r="C38" s="103">
        <f>C22</f>
        <v>439193.25</v>
      </c>
      <c r="D38" s="66"/>
      <c r="E38" s="99" t="s">
        <v>242</v>
      </c>
      <c r="F38" s="102">
        <f>F22</f>
        <v>518145.4</v>
      </c>
    </row>
    <row r="39" spans="2:25">
      <c r="B39" s="104" t="s">
        <v>241</v>
      </c>
      <c r="C39" s="100">
        <f>C23</f>
        <v>0.27302391304347828</v>
      </c>
      <c r="D39" s="66"/>
      <c r="E39" s="70" t="s">
        <v>241</v>
      </c>
      <c r="F39" s="98">
        <f>F23</f>
        <v>0.50187072463768112</v>
      </c>
    </row>
    <row r="40" spans="2:25">
      <c r="B40" s="101" t="s">
        <v>240</v>
      </c>
      <c r="C40" s="106" t="str">
        <f>C25</f>
        <v>24 yrs 11 mths</v>
      </c>
      <c r="D40" s="66"/>
      <c r="E40" s="99" t="s">
        <v>240</v>
      </c>
      <c r="F40" s="105" t="str">
        <f>F25</f>
        <v>24 yrs 11 mths</v>
      </c>
    </row>
    <row r="41" spans="2:25">
      <c r="B41" s="104" t="s">
        <v>239</v>
      </c>
      <c r="C41" s="103">
        <f ca="1">C26</f>
        <v>306476.76863147784</v>
      </c>
      <c r="D41" s="66"/>
      <c r="E41" s="70" t="s">
        <v>239</v>
      </c>
      <c r="F41" s="102">
        <f ca="1">F26</f>
        <v>312839.33466939948</v>
      </c>
    </row>
    <row r="42" spans="2:25">
      <c r="B42" s="101" t="s">
        <v>238</v>
      </c>
      <c r="C42" s="100">
        <f>C27</f>
        <v>0.34052974292386429</v>
      </c>
      <c r="D42" s="66"/>
      <c r="E42" s="99" t="s">
        <v>238</v>
      </c>
      <c r="F42" s="98">
        <f>F27</f>
        <v>0.83423822578506523</v>
      </c>
    </row>
    <row r="44" spans="2:25">
      <c r="B44" s="191" t="s">
        <v>237</v>
      </c>
      <c r="C44" s="191"/>
      <c r="D44" s="191"/>
      <c r="E44" s="191"/>
      <c r="F44" s="191"/>
    </row>
    <row r="45" spans="2:25" ht="16.5">
      <c r="B45" s="97" t="s">
        <v>236</v>
      </c>
      <c r="C45" s="96">
        <f>IFERROR(F21-C21,0)</f>
        <v>78952.149999999994</v>
      </c>
    </row>
    <row r="46" spans="2:25" ht="71.25" customHeight="1">
      <c r="B46" s="192" t="s">
        <v>235</v>
      </c>
      <c r="C46" s="192"/>
      <c r="D46" s="192"/>
      <c r="E46" s="192"/>
      <c r="F46" s="192"/>
      <c r="G46" s="192"/>
    </row>
    <row r="47" spans="2:25" ht="18" customHeight="1"/>
    <row r="48" spans="2:25">
      <c r="B48" s="193" t="s">
        <v>234</v>
      </c>
      <c r="C48" s="193"/>
      <c r="D48" s="193"/>
      <c r="E48" s="193"/>
      <c r="F48" s="193"/>
      <c r="G48" s="193"/>
      <c r="H48" s="193"/>
      <c r="I48" s="193"/>
      <c r="J48" s="193"/>
      <c r="K48" s="193"/>
      <c r="L48" s="193"/>
      <c r="M48" s="193"/>
      <c r="N48" s="193"/>
      <c r="O48" s="193"/>
      <c r="Q48" s="194" t="s">
        <v>233</v>
      </c>
      <c r="R48" s="194"/>
      <c r="S48" s="194"/>
      <c r="T48" s="194"/>
      <c r="U48" s="194"/>
      <c r="V48" s="194"/>
      <c r="W48" s="194"/>
      <c r="X48" s="194"/>
      <c r="Y48" s="194"/>
    </row>
    <row r="50" spans="8:25">
      <c r="H50" s="95" t="s">
        <v>232</v>
      </c>
      <c r="I50" s="95" t="s">
        <v>6</v>
      </c>
      <c r="J50" s="95" t="s">
        <v>231</v>
      </c>
      <c r="K50" s="95" t="s">
        <v>38</v>
      </c>
      <c r="L50" s="95" t="s">
        <v>230</v>
      </c>
      <c r="M50" s="95" t="s">
        <v>229</v>
      </c>
      <c r="N50" s="95" t="s">
        <v>228</v>
      </c>
      <c r="O50" s="95" t="s">
        <v>227</v>
      </c>
      <c r="P50" s="95" t="s">
        <v>226</v>
      </c>
      <c r="Q50" s="94" t="s">
        <v>232</v>
      </c>
      <c r="R50" s="94" t="s">
        <v>6</v>
      </c>
      <c r="S50" s="94" t="s">
        <v>231</v>
      </c>
      <c r="T50" s="94" t="s">
        <v>38</v>
      </c>
      <c r="U50" s="94" t="s">
        <v>230</v>
      </c>
      <c r="V50" s="94" t="s">
        <v>229</v>
      </c>
      <c r="W50" s="94" t="s">
        <v>228</v>
      </c>
      <c r="X50" s="94" t="s">
        <v>227</v>
      </c>
      <c r="Y50" s="94" t="s">
        <v>226</v>
      </c>
    </row>
    <row r="51" spans="8:25">
      <c r="H51" s="93">
        <v>1</v>
      </c>
      <c r="I51" s="92">
        <f>IFERROR(EOMONTH(DATE($C$10,$C$9,1),1-1),"")</f>
        <v>44957</v>
      </c>
      <c r="J51" s="91">
        <f>$C$6</f>
        <v>345000</v>
      </c>
      <c r="K51" s="91">
        <f t="shared" ref="K51:K114" si="0">IF(J51&lt;=0,0,ROUND(J51*$C$7/12,2))</f>
        <v>577.88</v>
      </c>
      <c r="L51" s="91">
        <f t="shared" ref="L51:L114" si="1">IF(J51&lt;=0,0,IF(UPPER(TRIM($C$11))="INTEREST ONLY",0,MAX(0,MIN(J51,$C$17-K51))))</f>
        <v>886.09765163148597</v>
      </c>
      <c r="M51" s="91">
        <f t="shared" ref="M51:M114" si="2">IF(J51&lt;=0,0,MIN(J51-L51,$C$12+IF(H51=$C$14,$C$13,0)))</f>
        <v>0</v>
      </c>
      <c r="N51" s="91">
        <f t="shared" ref="N51:N114" si="3">K51+L51+M51</f>
        <v>1463.977651631486</v>
      </c>
      <c r="O51" s="91">
        <f t="shared" ref="O51:O114" si="4">MAX(0,J51-L51-M51)</f>
        <v>344113.90234836849</v>
      </c>
      <c r="P51" s="91">
        <f>K51</f>
        <v>577.88</v>
      </c>
      <c r="Q51" s="90">
        <v>1</v>
      </c>
      <c r="R51" s="89">
        <f>IFERROR(EOMONTH(DATE($F$10,$F$9,1),1-1),"")</f>
        <v>44957</v>
      </c>
      <c r="S51" s="88">
        <f>$F$6</f>
        <v>345000</v>
      </c>
      <c r="T51" s="88">
        <f t="shared" ref="T51:T114" si="5">IF(S51&lt;=0,0,ROUND(S51*$F$7/12,2))</f>
        <v>1006.25</v>
      </c>
      <c r="U51" s="88">
        <f t="shared" ref="U51:U114" si="6">IF(S51&lt;=0,0,IF(UPPER(TRIM($F$11))="INTEREST ONLY",0,MAX(0,MIN(S51,$F$17-T51))))</f>
        <v>720.90131739525054</v>
      </c>
      <c r="V51" s="88">
        <f t="shared" ref="V51:V114" si="7">IF(S51&lt;=0,0,MIN(S51-U51,$F$12+IF(Q51=$F$14,$F$13,0)))</f>
        <v>0</v>
      </c>
      <c r="W51" s="88">
        <f t="shared" ref="W51:W114" si="8">T51+U51+V51</f>
        <v>1727.1513173952505</v>
      </c>
      <c r="X51" s="88">
        <f t="shared" ref="X51:X114" si="9">MAX(0,S51-U51-V51)</f>
        <v>344279.09868260473</v>
      </c>
      <c r="Y51" s="88">
        <f>T51</f>
        <v>1006.25</v>
      </c>
    </row>
    <row r="52" spans="8:25">
      <c r="H52" s="87">
        <v>2</v>
      </c>
      <c r="I52" s="86">
        <f>IFERROR(EOMONTH(DATE($C$10,$C$9,1),2-1),"")</f>
        <v>44985</v>
      </c>
      <c r="J52" s="85">
        <f t="shared" ref="J52:J115" si="10">IF(O51&lt;=0,0,O51)</f>
        <v>344113.90234836849</v>
      </c>
      <c r="K52" s="85">
        <f t="shared" si="0"/>
        <v>576.39</v>
      </c>
      <c r="L52" s="85">
        <f t="shared" si="1"/>
        <v>887.58765163148598</v>
      </c>
      <c r="M52" s="85">
        <f t="shared" si="2"/>
        <v>0</v>
      </c>
      <c r="N52" s="85">
        <f t="shared" si="3"/>
        <v>1463.977651631486</v>
      </c>
      <c r="O52" s="85">
        <f t="shared" si="4"/>
        <v>343226.31469673698</v>
      </c>
      <c r="P52" s="85">
        <f t="shared" ref="P52:P115" si="11">P51+K52</f>
        <v>1154.27</v>
      </c>
      <c r="Q52" s="87">
        <v>2</v>
      </c>
      <c r="R52" s="86">
        <f>IFERROR(EOMONTH(DATE($F$10,$F$9,1),2-1),"")</f>
        <v>44985</v>
      </c>
      <c r="S52" s="85">
        <f t="shared" ref="S52:S115" si="12">IF(X51&lt;=0,0,X51)</f>
        <v>344279.09868260473</v>
      </c>
      <c r="T52" s="85">
        <f t="shared" si="5"/>
        <v>1004.15</v>
      </c>
      <c r="U52" s="85">
        <f t="shared" si="6"/>
        <v>723.00131739525057</v>
      </c>
      <c r="V52" s="85">
        <f t="shared" si="7"/>
        <v>0</v>
      </c>
      <c r="W52" s="85">
        <f t="shared" si="8"/>
        <v>1727.1513173952505</v>
      </c>
      <c r="X52" s="85">
        <f t="shared" si="9"/>
        <v>343556.09736520948</v>
      </c>
      <c r="Y52" s="85">
        <f t="shared" ref="Y52:Y115" si="13">Y51+T52</f>
        <v>2010.4</v>
      </c>
    </row>
    <row r="53" spans="8:25">
      <c r="H53" s="93">
        <v>3</v>
      </c>
      <c r="I53" s="92">
        <f>IFERROR(EOMONTH(DATE($C$10,$C$9,1),3-1),"")</f>
        <v>45016</v>
      </c>
      <c r="J53" s="91">
        <f t="shared" si="10"/>
        <v>343226.31469673698</v>
      </c>
      <c r="K53" s="91">
        <f t="shared" si="0"/>
        <v>574.9</v>
      </c>
      <c r="L53" s="91">
        <f t="shared" si="1"/>
        <v>889.07765163148599</v>
      </c>
      <c r="M53" s="91">
        <f t="shared" si="2"/>
        <v>0</v>
      </c>
      <c r="N53" s="91">
        <f t="shared" si="3"/>
        <v>1463.977651631486</v>
      </c>
      <c r="O53" s="91">
        <f t="shared" si="4"/>
        <v>342337.23704510549</v>
      </c>
      <c r="P53" s="91">
        <f t="shared" si="11"/>
        <v>1729.17</v>
      </c>
      <c r="Q53" s="90">
        <v>3</v>
      </c>
      <c r="R53" s="89">
        <f>IFERROR(EOMONTH(DATE($F$10,$F$9,1),3-1),"")</f>
        <v>45016</v>
      </c>
      <c r="S53" s="88">
        <f t="shared" si="12"/>
        <v>343556.09736520948</v>
      </c>
      <c r="T53" s="88">
        <f t="shared" si="5"/>
        <v>1002.04</v>
      </c>
      <c r="U53" s="88">
        <f t="shared" si="6"/>
        <v>725.11131739525058</v>
      </c>
      <c r="V53" s="88">
        <f t="shared" si="7"/>
        <v>0</v>
      </c>
      <c r="W53" s="88">
        <f t="shared" si="8"/>
        <v>1727.1513173952505</v>
      </c>
      <c r="X53" s="88">
        <f t="shared" si="9"/>
        <v>342830.98604781425</v>
      </c>
      <c r="Y53" s="88">
        <f t="shared" si="13"/>
        <v>3012.44</v>
      </c>
    </row>
    <row r="54" spans="8:25">
      <c r="H54" s="87">
        <v>4</v>
      </c>
      <c r="I54" s="86">
        <f>IFERROR(EOMONTH(DATE($C$10,$C$9,1),4-1),"")</f>
        <v>45046</v>
      </c>
      <c r="J54" s="85">
        <f t="shared" si="10"/>
        <v>342337.23704510549</v>
      </c>
      <c r="K54" s="85">
        <f t="shared" si="0"/>
        <v>573.41</v>
      </c>
      <c r="L54" s="85">
        <f t="shared" si="1"/>
        <v>890.567651631486</v>
      </c>
      <c r="M54" s="85">
        <f t="shared" si="2"/>
        <v>0</v>
      </c>
      <c r="N54" s="85">
        <f t="shared" si="3"/>
        <v>1463.977651631486</v>
      </c>
      <c r="O54" s="85">
        <f t="shared" si="4"/>
        <v>341446.669393474</v>
      </c>
      <c r="P54" s="85">
        <f t="shared" si="11"/>
        <v>2302.58</v>
      </c>
      <c r="Q54" s="87">
        <v>4</v>
      </c>
      <c r="R54" s="86">
        <f>IFERROR(EOMONTH(DATE($F$10,$F$9,1),4-1),"")</f>
        <v>45046</v>
      </c>
      <c r="S54" s="85">
        <f t="shared" si="12"/>
        <v>342830.98604781425</v>
      </c>
      <c r="T54" s="85">
        <f t="shared" si="5"/>
        <v>999.92</v>
      </c>
      <c r="U54" s="85">
        <f t="shared" si="6"/>
        <v>727.23131739525058</v>
      </c>
      <c r="V54" s="85">
        <f t="shared" si="7"/>
        <v>0</v>
      </c>
      <c r="W54" s="85">
        <f t="shared" si="8"/>
        <v>1727.1513173952505</v>
      </c>
      <c r="X54" s="85">
        <f t="shared" si="9"/>
        <v>342103.75473041902</v>
      </c>
      <c r="Y54" s="85">
        <f t="shared" si="13"/>
        <v>4012.36</v>
      </c>
    </row>
    <row r="55" spans="8:25">
      <c r="H55" s="93">
        <v>5</v>
      </c>
      <c r="I55" s="92">
        <f>IFERROR(EOMONTH(DATE($C$10,$C$9,1),5-1),"")</f>
        <v>45077</v>
      </c>
      <c r="J55" s="91">
        <f t="shared" si="10"/>
        <v>341446.669393474</v>
      </c>
      <c r="K55" s="91">
        <f t="shared" si="0"/>
        <v>571.91999999999996</v>
      </c>
      <c r="L55" s="91">
        <f t="shared" si="1"/>
        <v>892.05765163148601</v>
      </c>
      <c r="M55" s="91">
        <f t="shared" si="2"/>
        <v>0</v>
      </c>
      <c r="N55" s="91">
        <f t="shared" si="3"/>
        <v>1463.977651631486</v>
      </c>
      <c r="O55" s="91">
        <f t="shared" si="4"/>
        <v>340554.61174184253</v>
      </c>
      <c r="P55" s="91">
        <f t="shared" si="11"/>
        <v>2874.5</v>
      </c>
      <c r="Q55" s="90">
        <v>5</v>
      </c>
      <c r="R55" s="89">
        <f>IFERROR(EOMONTH(DATE($F$10,$F$9,1),5-1),"")</f>
        <v>45077</v>
      </c>
      <c r="S55" s="88">
        <f t="shared" si="12"/>
        <v>342103.75473041902</v>
      </c>
      <c r="T55" s="88">
        <f t="shared" si="5"/>
        <v>997.8</v>
      </c>
      <c r="U55" s="88">
        <f t="shared" si="6"/>
        <v>729.35131739525059</v>
      </c>
      <c r="V55" s="88">
        <f t="shared" si="7"/>
        <v>0</v>
      </c>
      <c r="W55" s="88">
        <f t="shared" si="8"/>
        <v>1727.1513173952505</v>
      </c>
      <c r="X55" s="88">
        <f t="shared" si="9"/>
        <v>341374.4034130238</v>
      </c>
      <c r="Y55" s="88">
        <f t="shared" si="13"/>
        <v>5010.16</v>
      </c>
    </row>
    <row r="56" spans="8:25">
      <c r="H56" s="87">
        <v>6</v>
      </c>
      <c r="I56" s="86">
        <f>IFERROR(EOMONTH(DATE($C$10,$C$9,1),6-1),"")</f>
        <v>45107</v>
      </c>
      <c r="J56" s="85">
        <f t="shared" si="10"/>
        <v>340554.61174184253</v>
      </c>
      <c r="K56" s="85">
        <f t="shared" si="0"/>
        <v>570.42999999999995</v>
      </c>
      <c r="L56" s="85">
        <f t="shared" si="1"/>
        <v>893.54765163148602</v>
      </c>
      <c r="M56" s="85">
        <f t="shared" si="2"/>
        <v>0</v>
      </c>
      <c r="N56" s="85">
        <f t="shared" si="3"/>
        <v>1463.977651631486</v>
      </c>
      <c r="O56" s="85">
        <f t="shared" si="4"/>
        <v>339661.06409021106</v>
      </c>
      <c r="P56" s="85">
        <f t="shared" si="11"/>
        <v>3444.93</v>
      </c>
      <c r="Q56" s="87">
        <v>6</v>
      </c>
      <c r="R56" s="86">
        <f>IFERROR(EOMONTH(DATE($F$10,$F$9,1),6-1),"")</f>
        <v>45107</v>
      </c>
      <c r="S56" s="85">
        <f t="shared" si="12"/>
        <v>341374.4034130238</v>
      </c>
      <c r="T56" s="85">
        <f t="shared" si="5"/>
        <v>995.68</v>
      </c>
      <c r="U56" s="85">
        <f t="shared" si="6"/>
        <v>731.47131739525059</v>
      </c>
      <c r="V56" s="85">
        <f t="shared" si="7"/>
        <v>0</v>
      </c>
      <c r="W56" s="85">
        <f t="shared" si="8"/>
        <v>1727.1513173952505</v>
      </c>
      <c r="X56" s="85">
        <f t="shared" si="9"/>
        <v>340642.93209562852</v>
      </c>
      <c r="Y56" s="85">
        <f t="shared" si="13"/>
        <v>6005.84</v>
      </c>
    </row>
    <row r="57" spans="8:25">
      <c r="H57" s="93">
        <v>7</v>
      </c>
      <c r="I57" s="92">
        <f>IFERROR(EOMONTH(DATE($C$10,$C$9,1),7-1),"")</f>
        <v>45138</v>
      </c>
      <c r="J57" s="91">
        <f t="shared" si="10"/>
        <v>339661.06409021106</v>
      </c>
      <c r="K57" s="91">
        <f t="shared" si="0"/>
        <v>568.92999999999995</v>
      </c>
      <c r="L57" s="91">
        <f t="shared" si="1"/>
        <v>895.04765163148602</v>
      </c>
      <c r="M57" s="91">
        <f t="shared" si="2"/>
        <v>0</v>
      </c>
      <c r="N57" s="91">
        <f t="shared" si="3"/>
        <v>1463.977651631486</v>
      </c>
      <c r="O57" s="91">
        <f t="shared" si="4"/>
        <v>338766.01643857959</v>
      </c>
      <c r="P57" s="91">
        <f t="shared" si="11"/>
        <v>4013.8599999999997</v>
      </c>
      <c r="Q57" s="90">
        <v>7</v>
      </c>
      <c r="R57" s="89">
        <f>IFERROR(EOMONTH(DATE($F$10,$F$9,1),7-1),"")</f>
        <v>45138</v>
      </c>
      <c r="S57" s="88">
        <f t="shared" si="12"/>
        <v>340642.93209562852</v>
      </c>
      <c r="T57" s="88">
        <f t="shared" si="5"/>
        <v>993.54</v>
      </c>
      <c r="U57" s="88">
        <f t="shared" si="6"/>
        <v>733.61131739525058</v>
      </c>
      <c r="V57" s="88">
        <f t="shared" si="7"/>
        <v>0</v>
      </c>
      <c r="W57" s="88">
        <f t="shared" si="8"/>
        <v>1727.1513173952505</v>
      </c>
      <c r="X57" s="88">
        <f t="shared" si="9"/>
        <v>339909.32077823329</v>
      </c>
      <c r="Y57" s="88">
        <f t="shared" si="13"/>
        <v>6999.38</v>
      </c>
    </row>
    <row r="58" spans="8:25">
      <c r="H58" s="87">
        <v>8</v>
      </c>
      <c r="I58" s="86">
        <f>IFERROR(EOMONTH(DATE($C$10,$C$9,1),8-1),"")</f>
        <v>45169</v>
      </c>
      <c r="J58" s="85">
        <f t="shared" si="10"/>
        <v>338766.01643857959</v>
      </c>
      <c r="K58" s="85">
        <f t="shared" si="0"/>
        <v>567.42999999999995</v>
      </c>
      <c r="L58" s="85">
        <f t="shared" si="1"/>
        <v>896.54765163148602</v>
      </c>
      <c r="M58" s="85">
        <f t="shared" si="2"/>
        <v>0</v>
      </c>
      <c r="N58" s="85">
        <f t="shared" si="3"/>
        <v>1463.977651631486</v>
      </c>
      <c r="O58" s="85">
        <f t="shared" si="4"/>
        <v>337869.46878694813</v>
      </c>
      <c r="P58" s="85">
        <f t="shared" si="11"/>
        <v>4581.29</v>
      </c>
      <c r="Q58" s="87">
        <v>8</v>
      </c>
      <c r="R58" s="86">
        <f>IFERROR(EOMONTH(DATE($F$10,$F$9,1),8-1),"")</f>
        <v>45169</v>
      </c>
      <c r="S58" s="85">
        <f t="shared" si="12"/>
        <v>339909.32077823329</v>
      </c>
      <c r="T58" s="85">
        <f t="shared" si="5"/>
        <v>991.4</v>
      </c>
      <c r="U58" s="85">
        <f t="shared" si="6"/>
        <v>735.75131739525057</v>
      </c>
      <c r="V58" s="85">
        <f t="shared" si="7"/>
        <v>0</v>
      </c>
      <c r="W58" s="85">
        <f t="shared" si="8"/>
        <v>1727.1513173952505</v>
      </c>
      <c r="X58" s="85">
        <f t="shared" si="9"/>
        <v>339173.56946083804</v>
      </c>
      <c r="Y58" s="85">
        <f t="shared" si="13"/>
        <v>7990.78</v>
      </c>
    </row>
    <row r="59" spans="8:25">
      <c r="H59" s="93">
        <v>9</v>
      </c>
      <c r="I59" s="92">
        <f>IFERROR(EOMONTH(DATE($C$10,$C$9,1),9-1),"")</f>
        <v>45199</v>
      </c>
      <c r="J59" s="91">
        <f t="shared" si="10"/>
        <v>337869.46878694813</v>
      </c>
      <c r="K59" s="91">
        <f t="shared" si="0"/>
        <v>565.92999999999995</v>
      </c>
      <c r="L59" s="91">
        <f t="shared" si="1"/>
        <v>898.04765163148602</v>
      </c>
      <c r="M59" s="91">
        <f t="shared" si="2"/>
        <v>0</v>
      </c>
      <c r="N59" s="91">
        <f t="shared" si="3"/>
        <v>1463.977651631486</v>
      </c>
      <c r="O59" s="91">
        <f t="shared" si="4"/>
        <v>336971.42113531666</v>
      </c>
      <c r="P59" s="91">
        <f t="shared" si="11"/>
        <v>5147.22</v>
      </c>
      <c r="Q59" s="90">
        <v>9</v>
      </c>
      <c r="R59" s="89">
        <f>IFERROR(EOMONTH(DATE($F$10,$F$9,1),9-1),"")</f>
        <v>45199</v>
      </c>
      <c r="S59" s="88">
        <f t="shared" si="12"/>
        <v>339173.56946083804</v>
      </c>
      <c r="T59" s="88">
        <f t="shared" si="5"/>
        <v>989.26</v>
      </c>
      <c r="U59" s="88">
        <f t="shared" si="6"/>
        <v>737.89131739525055</v>
      </c>
      <c r="V59" s="88">
        <f t="shared" si="7"/>
        <v>0</v>
      </c>
      <c r="W59" s="88">
        <f t="shared" si="8"/>
        <v>1727.1513173952505</v>
      </c>
      <c r="X59" s="88">
        <f t="shared" si="9"/>
        <v>338435.67814344278</v>
      </c>
      <c r="Y59" s="88">
        <f t="shared" si="13"/>
        <v>8980.0399999999991</v>
      </c>
    </row>
    <row r="60" spans="8:25">
      <c r="H60" s="87">
        <v>10</v>
      </c>
      <c r="I60" s="86">
        <f>IFERROR(EOMONTH(DATE($C$10,$C$9,1),10-1),"")</f>
        <v>45230</v>
      </c>
      <c r="J60" s="85">
        <f t="shared" si="10"/>
        <v>336971.42113531666</v>
      </c>
      <c r="K60" s="85">
        <f t="shared" si="0"/>
        <v>564.42999999999995</v>
      </c>
      <c r="L60" s="85">
        <f t="shared" si="1"/>
        <v>899.54765163148602</v>
      </c>
      <c r="M60" s="85">
        <f t="shared" si="2"/>
        <v>0</v>
      </c>
      <c r="N60" s="85">
        <f t="shared" si="3"/>
        <v>1463.977651631486</v>
      </c>
      <c r="O60" s="85">
        <f t="shared" si="4"/>
        <v>336071.87348368519</v>
      </c>
      <c r="P60" s="85">
        <f t="shared" si="11"/>
        <v>5711.6500000000005</v>
      </c>
      <c r="Q60" s="87">
        <v>10</v>
      </c>
      <c r="R60" s="86">
        <f>IFERROR(EOMONTH(DATE($F$10,$F$9,1),10-1),"")</f>
        <v>45230</v>
      </c>
      <c r="S60" s="85">
        <f t="shared" si="12"/>
        <v>338435.67814344278</v>
      </c>
      <c r="T60" s="85">
        <f t="shared" si="5"/>
        <v>987.1</v>
      </c>
      <c r="U60" s="85">
        <f t="shared" si="6"/>
        <v>740.05131739525052</v>
      </c>
      <c r="V60" s="85">
        <f t="shared" si="7"/>
        <v>0</v>
      </c>
      <c r="W60" s="85">
        <f t="shared" si="8"/>
        <v>1727.1513173952505</v>
      </c>
      <c r="X60" s="85">
        <f t="shared" si="9"/>
        <v>337695.62682604755</v>
      </c>
      <c r="Y60" s="85">
        <f t="shared" si="13"/>
        <v>9967.14</v>
      </c>
    </row>
    <row r="61" spans="8:25">
      <c r="H61" s="93">
        <v>11</v>
      </c>
      <c r="I61" s="92">
        <f>IFERROR(EOMONTH(DATE($C$10,$C$9,1),11-1),"")</f>
        <v>45260</v>
      </c>
      <c r="J61" s="91">
        <f t="shared" si="10"/>
        <v>336071.87348368519</v>
      </c>
      <c r="K61" s="91">
        <f t="shared" si="0"/>
        <v>562.91999999999996</v>
      </c>
      <c r="L61" s="91">
        <f t="shared" si="1"/>
        <v>901.05765163148601</v>
      </c>
      <c r="M61" s="91">
        <f t="shared" si="2"/>
        <v>0</v>
      </c>
      <c r="N61" s="91">
        <f t="shared" si="3"/>
        <v>1463.977651631486</v>
      </c>
      <c r="O61" s="91">
        <f t="shared" si="4"/>
        <v>335170.81583205372</v>
      </c>
      <c r="P61" s="91">
        <f t="shared" si="11"/>
        <v>6274.5700000000006</v>
      </c>
      <c r="Q61" s="90">
        <v>11</v>
      </c>
      <c r="R61" s="89">
        <f>IFERROR(EOMONTH(DATE($F$10,$F$9,1),11-1),"")</f>
        <v>45260</v>
      </c>
      <c r="S61" s="88">
        <f t="shared" si="12"/>
        <v>337695.62682604755</v>
      </c>
      <c r="T61" s="88">
        <f t="shared" si="5"/>
        <v>984.95</v>
      </c>
      <c r="U61" s="88">
        <f t="shared" si="6"/>
        <v>742.2013173952505</v>
      </c>
      <c r="V61" s="88">
        <f t="shared" si="7"/>
        <v>0</v>
      </c>
      <c r="W61" s="88">
        <f t="shared" si="8"/>
        <v>1727.1513173952505</v>
      </c>
      <c r="X61" s="88">
        <f t="shared" si="9"/>
        <v>336953.42550865229</v>
      </c>
      <c r="Y61" s="88">
        <f t="shared" si="13"/>
        <v>10952.09</v>
      </c>
    </row>
    <row r="62" spans="8:25">
      <c r="H62" s="87">
        <v>12</v>
      </c>
      <c r="I62" s="86">
        <f>IFERROR(EOMONTH(DATE($C$10,$C$9,1),12-1),"")</f>
        <v>45291</v>
      </c>
      <c r="J62" s="85">
        <f t="shared" si="10"/>
        <v>335170.81583205372</v>
      </c>
      <c r="K62" s="85">
        <f t="shared" si="0"/>
        <v>561.41</v>
      </c>
      <c r="L62" s="85">
        <f t="shared" si="1"/>
        <v>902.567651631486</v>
      </c>
      <c r="M62" s="85">
        <f t="shared" si="2"/>
        <v>0</v>
      </c>
      <c r="N62" s="85">
        <f t="shared" si="3"/>
        <v>1463.977651631486</v>
      </c>
      <c r="O62" s="85">
        <f t="shared" si="4"/>
        <v>334268.24818042223</v>
      </c>
      <c r="P62" s="85">
        <f t="shared" si="11"/>
        <v>6835.9800000000005</v>
      </c>
      <c r="Q62" s="87">
        <v>12</v>
      </c>
      <c r="R62" s="86">
        <f>IFERROR(EOMONTH(DATE($F$10,$F$9,1),12-1),"")</f>
        <v>45291</v>
      </c>
      <c r="S62" s="85">
        <f t="shared" si="12"/>
        <v>336953.42550865229</v>
      </c>
      <c r="T62" s="85">
        <f t="shared" si="5"/>
        <v>982.78</v>
      </c>
      <c r="U62" s="85">
        <f t="shared" si="6"/>
        <v>744.37131739525057</v>
      </c>
      <c r="V62" s="85">
        <f t="shared" si="7"/>
        <v>0</v>
      </c>
      <c r="W62" s="85">
        <f t="shared" si="8"/>
        <v>1727.1513173952505</v>
      </c>
      <c r="X62" s="85">
        <f t="shared" si="9"/>
        <v>336209.05419125705</v>
      </c>
      <c r="Y62" s="85">
        <f t="shared" si="13"/>
        <v>11934.87</v>
      </c>
    </row>
    <row r="63" spans="8:25">
      <c r="H63" s="93">
        <v>13</v>
      </c>
      <c r="I63" s="92">
        <f>IFERROR(EOMONTH(DATE($C$10,$C$9,1),13-1),"")</f>
        <v>45322</v>
      </c>
      <c r="J63" s="91">
        <f t="shared" si="10"/>
        <v>334268.24818042223</v>
      </c>
      <c r="K63" s="91">
        <f t="shared" si="0"/>
        <v>559.9</v>
      </c>
      <c r="L63" s="91">
        <f t="shared" si="1"/>
        <v>904.07765163148599</v>
      </c>
      <c r="M63" s="91">
        <f t="shared" si="2"/>
        <v>0</v>
      </c>
      <c r="N63" s="91">
        <f t="shared" si="3"/>
        <v>1463.977651631486</v>
      </c>
      <c r="O63" s="91">
        <f t="shared" si="4"/>
        <v>333364.17052879074</v>
      </c>
      <c r="P63" s="91">
        <f t="shared" si="11"/>
        <v>7395.88</v>
      </c>
      <c r="Q63" s="90">
        <v>13</v>
      </c>
      <c r="R63" s="89">
        <f>IFERROR(EOMONTH(DATE($F$10,$F$9,1),13-1),"")</f>
        <v>45322</v>
      </c>
      <c r="S63" s="88">
        <f t="shared" si="12"/>
        <v>336209.05419125705</v>
      </c>
      <c r="T63" s="88">
        <f t="shared" si="5"/>
        <v>980.61</v>
      </c>
      <c r="U63" s="88">
        <f t="shared" si="6"/>
        <v>746.54131739525053</v>
      </c>
      <c r="V63" s="88">
        <f t="shared" si="7"/>
        <v>0</v>
      </c>
      <c r="W63" s="88">
        <f t="shared" si="8"/>
        <v>1727.1513173952505</v>
      </c>
      <c r="X63" s="88">
        <f t="shared" si="9"/>
        <v>335462.51287386182</v>
      </c>
      <c r="Y63" s="88">
        <f t="shared" si="13"/>
        <v>12915.480000000001</v>
      </c>
    </row>
    <row r="64" spans="8:25">
      <c r="H64" s="87">
        <v>14</v>
      </c>
      <c r="I64" s="86">
        <f>IFERROR(EOMONTH(DATE($C$10,$C$9,1),14-1),"")</f>
        <v>45351</v>
      </c>
      <c r="J64" s="85">
        <f t="shared" si="10"/>
        <v>333364.17052879074</v>
      </c>
      <c r="K64" s="85">
        <f t="shared" si="0"/>
        <v>558.38</v>
      </c>
      <c r="L64" s="85">
        <f t="shared" si="1"/>
        <v>905.59765163148597</v>
      </c>
      <c r="M64" s="85">
        <f t="shared" si="2"/>
        <v>0</v>
      </c>
      <c r="N64" s="85">
        <f t="shared" si="3"/>
        <v>1463.977651631486</v>
      </c>
      <c r="O64" s="85">
        <f t="shared" si="4"/>
        <v>332458.57287715923</v>
      </c>
      <c r="P64" s="85">
        <f t="shared" si="11"/>
        <v>7954.26</v>
      </c>
      <c r="Q64" s="87">
        <v>14</v>
      </c>
      <c r="R64" s="86">
        <f>IFERROR(EOMONTH(DATE($F$10,$F$9,1),14-1),"")</f>
        <v>45351</v>
      </c>
      <c r="S64" s="85">
        <f t="shared" si="12"/>
        <v>335462.51287386182</v>
      </c>
      <c r="T64" s="85">
        <f t="shared" si="5"/>
        <v>978.43</v>
      </c>
      <c r="U64" s="85">
        <f t="shared" si="6"/>
        <v>748.72131739525059</v>
      </c>
      <c r="V64" s="85">
        <f t="shared" si="7"/>
        <v>0</v>
      </c>
      <c r="W64" s="85">
        <f t="shared" si="8"/>
        <v>1727.1513173952505</v>
      </c>
      <c r="X64" s="85">
        <f t="shared" si="9"/>
        <v>334713.79155646655</v>
      </c>
      <c r="Y64" s="85">
        <f t="shared" si="13"/>
        <v>13893.910000000002</v>
      </c>
    </row>
    <row r="65" spans="8:25">
      <c r="H65" s="93">
        <v>15</v>
      </c>
      <c r="I65" s="92">
        <f>IFERROR(EOMONTH(DATE($C$10,$C$9,1),15-1),"")</f>
        <v>45382</v>
      </c>
      <c r="J65" s="91">
        <f t="shared" si="10"/>
        <v>332458.57287715923</v>
      </c>
      <c r="K65" s="91">
        <f t="shared" si="0"/>
        <v>556.87</v>
      </c>
      <c r="L65" s="91">
        <f t="shared" si="1"/>
        <v>907.10765163148596</v>
      </c>
      <c r="M65" s="91">
        <f t="shared" si="2"/>
        <v>0</v>
      </c>
      <c r="N65" s="91">
        <f t="shared" si="3"/>
        <v>1463.977651631486</v>
      </c>
      <c r="O65" s="91">
        <f t="shared" si="4"/>
        <v>331551.46522552776</v>
      </c>
      <c r="P65" s="91">
        <f t="shared" si="11"/>
        <v>8511.130000000001</v>
      </c>
      <c r="Q65" s="90">
        <v>15</v>
      </c>
      <c r="R65" s="89">
        <f>IFERROR(EOMONTH(DATE($F$10,$F$9,1),15-1),"")</f>
        <v>45382</v>
      </c>
      <c r="S65" s="88">
        <f t="shared" si="12"/>
        <v>334713.79155646655</v>
      </c>
      <c r="T65" s="88">
        <f t="shared" si="5"/>
        <v>976.25</v>
      </c>
      <c r="U65" s="88">
        <f t="shared" si="6"/>
        <v>750.90131739525054</v>
      </c>
      <c r="V65" s="88">
        <f t="shared" si="7"/>
        <v>0</v>
      </c>
      <c r="W65" s="88">
        <f t="shared" si="8"/>
        <v>1727.1513173952505</v>
      </c>
      <c r="X65" s="88">
        <f t="shared" si="9"/>
        <v>333962.89023907128</v>
      </c>
      <c r="Y65" s="88">
        <f t="shared" si="13"/>
        <v>14870.160000000002</v>
      </c>
    </row>
    <row r="66" spans="8:25">
      <c r="H66" s="87">
        <v>16</v>
      </c>
      <c r="I66" s="86">
        <f>IFERROR(EOMONTH(DATE($C$10,$C$9,1),16-1),"")</f>
        <v>45412</v>
      </c>
      <c r="J66" s="85">
        <f t="shared" si="10"/>
        <v>331551.46522552776</v>
      </c>
      <c r="K66" s="85">
        <f t="shared" si="0"/>
        <v>555.35</v>
      </c>
      <c r="L66" s="85">
        <f t="shared" si="1"/>
        <v>908.62765163148595</v>
      </c>
      <c r="M66" s="85">
        <f t="shared" si="2"/>
        <v>0</v>
      </c>
      <c r="N66" s="85">
        <f t="shared" si="3"/>
        <v>1463.977651631486</v>
      </c>
      <c r="O66" s="85">
        <f t="shared" si="4"/>
        <v>330642.83757389628</v>
      </c>
      <c r="P66" s="85">
        <f t="shared" si="11"/>
        <v>9066.4800000000014</v>
      </c>
      <c r="Q66" s="87">
        <v>16</v>
      </c>
      <c r="R66" s="86">
        <f>IFERROR(EOMONTH(DATE($F$10,$F$9,1),16-1),"")</f>
        <v>45412</v>
      </c>
      <c r="S66" s="85">
        <f t="shared" si="12"/>
        <v>333962.89023907128</v>
      </c>
      <c r="T66" s="85">
        <f t="shared" si="5"/>
        <v>974.06</v>
      </c>
      <c r="U66" s="85">
        <f t="shared" si="6"/>
        <v>753.0913173952506</v>
      </c>
      <c r="V66" s="85">
        <f t="shared" si="7"/>
        <v>0</v>
      </c>
      <c r="W66" s="85">
        <f t="shared" si="8"/>
        <v>1727.1513173952505</v>
      </c>
      <c r="X66" s="85">
        <f t="shared" si="9"/>
        <v>333209.798921676</v>
      </c>
      <c r="Y66" s="85">
        <f t="shared" si="13"/>
        <v>15844.220000000001</v>
      </c>
    </row>
    <row r="67" spans="8:25">
      <c r="H67" s="93">
        <v>17</v>
      </c>
      <c r="I67" s="92">
        <f>IFERROR(EOMONTH(DATE($C$10,$C$9,1),17-1),"")</f>
        <v>45443</v>
      </c>
      <c r="J67" s="91">
        <f t="shared" si="10"/>
        <v>330642.83757389628</v>
      </c>
      <c r="K67" s="91">
        <f t="shared" si="0"/>
        <v>553.83000000000004</v>
      </c>
      <c r="L67" s="91">
        <f t="shared" si="1"/>
        <v>910.14765163148593</v>
      </c>
      <c r="M67" s="91">
        <f t="shared" si="2"/>
        <v>0</v>
      </c>
      <c r="N67" s="91">
        <f t="shared" si="3"/>
        <v>1463.977651631486</v>
      </c>
      <c r="O67" s="91">
        <f t="shared" si="4"/>
        <v>329732.68992226478</v>
      </c>
      <c r="P67" s="91">
        <f t="shared" si="11"/>
        <v>9620.3100000000013</v>
      </c>
      <c r="Q67" s="90">
        <v>17</v>
      </c>
      <c r="R67" s="89">
        <f>IFERROR(EOMONTH(DATE($F$10,$F$9,1),17-1),"")</f>
        <v>45443</v>
      </c>
      <c r="S67" s="88">
        <f t="shared" si="12"/>
        <v>333209.798921676</v>
      </c>
      <c r="T67" s="88">
        <f t="shared" si="5"/>
        <v>971.86</v>
      </c>
      <c r="U67" s="88">
        <f t="shared" si="6"/>
        <v>755.29131739525053</v>
      </c>
      <c r="V67" s="88">
        <f t="shared" si="7"/>
        <v>0</v>
      </c>
      <c r="W67" s="88">
        <f t="shared" si="8"/>
        <v>1727.1513173952505</v>
      </c>
      <c r="X67" s="88">
        <f t="shared" si="9"/>
        <v>332454.50760428078</v>
      </c>
      <c r="Y67" s="88">
        <f t="shared" si="13"/>
        <v>16816.080000000002</v>
      </c>
    </row>
    <row r="68" spans="8:25">
      <c r="H68" s="87">
        <v>18</v>
      </c>
      <c r="I68" s="86">
        <f>IFERROR(EOMONTH(DATE($C$10,$C$9,1),18-1),"")</f>
        <v>45473</v>
      </c>
      <c r="J68" s="85">
        <f t="shared" si="10"/>
        <v>329732.68992226478</v>
      </c>
      <c r="K68" s="85">
        <f t="shared" si="0"/>
        <v>552.29999999999995</v>
      </c>
      <c r="L68" s="85">
        <f t="shared" si="1"/>
        <v>911.67765163148601</v>
      </c>
      <c r="M68" s="85">
        <f t="shared" si="2"/>
        <v>0</v>
      </c>
      <c r="N68" s="85">
        <f t="shared" si="3"/>
        <v>1463.977651631486</v>
      </c>
      <c r="O68" s="85">
        <f t="shared" si="4"/>
        <v>328821.01227063331</v>
      </c>
      <c r="P68" s="85">
        <f t="shared" si="11"/>
        <v>10172.61</v>
      </c>
      <c r="Q68" s="87">
        <v>18</v>
      </c>
      <c r="R68" s="86">
        <f>IFERROR(EOMONTH(DATE($F$10,$F$9,1),18-1),"")</f>
        <v>45473</v>
      </c>
      <c r="S68" s="85">
        <f t="shared" si="12"/>
        <v>332454.50760428078</v>
      </c>
      <c r="T68" s="85">
        <f t="shared" si="5"/>
        <v>969.66</v>
      </c>
      <c r="U68" s="85">
        <f t="shared" si="6"/>
        <v>757.49131739525058</v>
      </c>
      <c r="V68" s="85">
        <f t="shared" si="7"/>
        <v>0</v>
      </c>
      <c r="W68" s="85">
        <f t="shared" si="8"/>
        <v>1727.1513173952505</v>
      </c>
      <c r="X68" s="85">
        <f t="shared" si="9"/>
        <v>331697.01628688554</v>
      </c>
      <c r="Y68" s="85">
        <f t="shared" si="13"/>
        <v>17785.740000000002</v>
      </c>
    </row>
    <row r="69" spans="8:25">
      <c r="H69" s="93">
        <v>19</v>
      </c>
      <c r="I69" s="92">
        <f>IFERROR(EOMONTH(DATE($C$10,$C$9,1),19-1),"")</f>
        <v>45504</v>
      </c>
      <c r="J69" s="91">
        <f t="shared" si="10"/>
        <v>328821.01227063331</v>
      </c>
      <c r="K69" s="91">
        <f t="shared" si="0"/>
        <v>550.78</v>
      </c>
      <c r="L69" s="91">
        <f t="shared" si="1"/>
        <v>913.197651631486</v>
      </c>
      <c r="M69" s="91">
        <f t="shared" si="2"/>
        <v>0</v>
      </c>
      <c r="N69" s="91">
        <f t="shared" si="3"/>
        <v>1463.977651631486</v>
      </c>
      <c r="O69" s="91">
        <f t="shared" si="4"/>
        <v>327907.81461900182</v>
      </c>
      <c r="P69" s="91">
        <f t="shared" si="11"/>
        <v>10723.390000000001</v>
      </c>
      <c r="Q69" s="90">
        <v>19</v>
      </c>
      <c r="R69" s="89">
        <f>IFERROR(EOMONTH(DATE($F$10,$F$9,1),19-1),"")</f>
        <v>45504</v>
      </c>
      <c r="S69" s="88">
        <f t="shared" si="12"/>
        <v>331697.01628688554</v>
      </c>
      <c r="T69" s="88">
        <f t="shared" si="5"/>
        <v>967.45</v>
      </c>
      <c r="U69" s="88">
        <f t="shared" si="6"/>
        <v>759.7013173952505</v>
      </c>
      <c r="V69" s="88">
        <f t="shared" si="7"/>
        <v>0</v>
      </c>
      <c r="W69" s="88">
        <f t="shared" si="8"/>
        <v>1727.1513173952505</v>
      </c>
      <c r="X69" s="88">
        <f t="shared" si="9"/>
        <v>330937.31496949028</v>
      </c>
      <c r="Y69" s="88">
        <f t="shared" si="13"/>
        <v>18753.190000000002</v>
      </c>
    </row>
    <row r="70" spans="8:25">
      <c r="H70" s="87">
        <v>20</v>
      </c>
      <c r="I70" s="86">
        <f>IFERROR(EOMONTH(DATE($C$10,$C$9,1),20-1),"")</f>
        <v>45535</v>
      </c>
      <c r="J70" s="85">
        <f t="shared" si="10"/>
        <v>327907.81461900182</v>
      </c>
      <c r="K70" s="85">
        <f t="shared" si="0"/>
        <v>549.25</v>
      </c>
      <c r="L70" s="85">
        <f t="shared" si="1"/>
        <v>914.72765163148597</v>
      </c>
      <c r="M70" s="85">
        <f t="shared" si="2"/>
        <v>0</v>
      </c>
      <c r="N70" s="85">
        <f t="shared" si="3"/>
        <v>1463.977651631486</v>
      </c>
      <c r="O70" s="85">
        <f t="shared" si="4"/>
        <v>326993.08696737036</v>
      </c>
      <c r="P70" s="85">
        <f t="shared" si="11"/>
        <v>11272.640000000001</v>
      </c>
      <c r="Q70" s="87">
        <v>20</v>
      </c>
      <c r="R70" s="86">
        <f>IFERROR(EOMONTH(DATE($F$10,$F$9,1),20-1),"")</f>
        <v>45535</v>
      </c>
      <c r="S70" s="85">
        <f t="shared" si="12"/>
        <v>330937.31496949028</v>
      </c>
      <c r="T70" s="85">
        <f t="shared" si="5"/>
        <v>965.23</v>
      </c>
      <c r="U70" s="85">
        <f t="shared" si="6"/>
        <v>761.92131739525053</v>
      </c>
      <c r="V70" s="85">
        <f t="shared" si="7"/>
        <v>0</v>
      </c>
      <c r="W70" s="85">
        <f t="shared" si="8"/>
        <v>1727.1513173952505</v>
      </c>
      <c r="X70" s="85">
        <f t="shared" si="9"/>
        <v>330175.39365209505</v>
      </c>
      <c r="Y70" s="85">
        <f t="shared" si="13"/>
        <v>19718.420000000002</v>
      </c>
    </row>
    <row r="71" spans="8:25">
      <c r="H71" s="93">
        <v>21</v>
      </c>
      <c r="I71" s="92">
        <f>IFERROR(EOMONTH(DATE($C$10,$C$9,1),21-1),"")</f>
        <v>45565</v>
      </c>
      <c r="J71" s="91">
        <f t="shared" si="10"/>
        <v>326993.08696737036</v>
      </c>
      <c r="K71" s="91">
        <f t="shared" si="0"/>
        <v>547.71</v>
      </c>
      <c r="L71" s="91">
        <f t="shared" si="1"/>
        <v>916.26765163148593</v>
      </c>
      <c r="M71" s="91">
        <f t="shared" si="2"/>
        <v>0</v>
      </c>
      <c r="N71" s="91">
        <f t="shared" si="3"/>
        <v>1463.977651631486</v>
      </c>
      <c r="O71" s="91">
        <f t="shared" si="4"/>
        <v>326076.81931573886</v>
      </c>
      <c r="P71" s="91">
        <f t="shared" si="11"/>
        <v>11820.350000000002</v>
      </c>
      <c r="Q71" s="90">
        <v>21</v>
      </c>
      <c r="R71" s="89">
        <f>IFERROR(EOMONTH(DATE($F$10,$F$9,1),21-1),"")</f>
        <v>45565</v>
      </c>
      <c r="S71" s="88">
        <f t="shared" si="12"/>
        <v>330175.39365209505</v>
      </c>
      <c r="T71" s="88">
        <f t="shared" si="5"/>
        <v>963.01</v>
      </c>
      <c r="U71" s="88">
        <f t="shared" si="6"/>
        <v>764.14131739525055</v>
      </c>
      <c r="V71" s="88">
        <f t="shared" si="7"/>
        <v>0</v>
      </c>
      <c r="W71" s="88">
        <f t="shared" si="8"/>
        <v>1727.1513173952505</v>
      </c>
      <c r="X71" s="88">
        <f t="shared" si="9"/>
        <v>329411.25233469979</v>
      </c>
      <c r="Y71" s="88">
        <f t="shared" si="13"/>
        <v>20681.43</v>
      </c>
    </row>
    <row r="72" spans="8:25">
      <c r="H72" s="87">
        <v>22</v>
      </c>
      <c r="I72" s="86">
        <f>IFERROR(EOMONTH(DATE($C$10,$C$9,1),22-1),"")</f>
        <v>45596</v>
      </c>
      <c r="J72" s="85">
        <f t="shared" si="10"/>
        <v>326076.81931573886</v>
      </c>
      <c r="K72" s="85">
        <f t="shared" si="0"/>
        <v>546.17999999999995</v>
      </c>
      <c r="L72" s="85">
        <f t="shared" si="1"/>
        <v>917.79765163148602</v>
      </c>
      <c r="M72" s="85">
        <f t="shared" si="2"/>
        <v>0</v>
      </c>
      <c r="N72" s="85">
        <f t="shared" si="3"/>
        <v>1463.977651631486</v>
      </c>
      <c r="O72" s="85">
        <f t="shared" si="4"/>
        <v>325159.02166410739</v>
      </c>
      <c r="P72" s="85">
        <f t="shared" si="11"/>
        <v>12366.530000000002</v>
      </c>
      <c r="Q72" s="87">
        <v>22</v>
      </c>
      <c r="R72" s="86">
        <f>IFERROR(EOMONTH(DATE($F$10,$F$9,1),22-1),"")</f>
        <v>45596</v>
      </c>
      <c r="S72" s="85">
        <f t="shared" si="12"/>
        <v>329411.25233469979</v>
      </c>
      <c r="T72" s="85">
        <f t="shared" si="5"/>
        <v>960.78</v>
      </c>
      <c r="U72" s="85">
        <f t="shared" si="6"/>
        <v>766.37131739525057</v>
      </c>
      <c r="V72" s="85">
        <f t="shared" si="7"/>
        <v>0</v>
      </c>
      <c r="W72" s="85">
        <f t="shared" si="8"/>
        <v>1727.1513173952505</v>
      </c>
      <c r="X72" s="85">
        <f t="shared" si="9"/>
        <v>328644.88101730455</v>
      </c>
      <c r="Y72" s="85">
        <f t="shared" si="13"/>
        <v>21642.21</v>
      </c>
    </row>
    <row r="73" spans="8:25">
      <c r="H73" s="93">
        <v>23</v>
      </c>
      <c r="I73" s="92">
        <f>IFERROR(EOMONTH(DATE($C$10,$C$9,1),23-1),"")</f>
        <v>45626</v>
      </c>
      <c r="J73" s="91">
        <f t="shared" si="10"/>
        <v>325159.02166410739</v>
      </c>
      <c r="K73" s="91">
        <f t="shared" si="0"/>
        <v>544.64</v>
      </c>
      <c r="L73" s="91">
        <f t="shared" si="1"/>
        <v>919.33765163148598</v>
      </c>
      <c r="M73" s="91">
        <f t="shared" si="2"/>
        <v>0</v>
      </c>
      <c r="N73" s="91">
        <f t="shared" si="3"/>
        <v>1463.977651631486</v>
      </c>
      <c r="O73" s="91">
        <f t="shared" si="4"/>
        <v>324239.68401247589</v>
      </c>
      <c r="P73" s="91">
        <f t="shared" si="11"/>
        <v>12911.170000000002</v>
      </c>
      <c r="Q73" s="90">
        <v>23</v>
      </c>
      <c r="R73" s="89">
        <f>IFERROR(EOMONTH(DATE($F$10,$F$9,1),23-1),"")</f>
        <v>45626</v>
      </c>
      <c r="S73" s="88">
        <f t="shared" si="12"/>
        <v>328644.88101730455</v>
      </c>
      <c r="T73" s="88">
        <f t="shared" si="5"/>
        <v>958.55</v>
      </c>
      <c r="U73" s="88">
        <f t="shared" si="6"/>
        <v>768.60131739525059</v>
      </c>
      <c r="V73" s="88">
        <f t="shared" si="7"/>
        <v>0</v>
      </c>
      <c r="W73" s="88">
        <f t="shared" si="8"/>
        <v>1727.1513173952505</v>
      </c>
      <c r="X73" s="88">
        <f t="shared" si="9"/>
        <v>327876.27969990933</v>
      </c>
      <c r="Y73" s="88">
        <f t="shared" si="13"/>
        <v>22600.76</v>
      </c>
    </row>
    <row r="74" spans="8:25">
      <c r="H74" s="87">
        <v>24</v>
      </c>
      <c r="I74" s="86">
        <f>IFERROR(EOMONTH(DATE($C$10,$C$9,1),24-1),"")</f>
        <v>45657</v>
      </c>
      <c r="J74" s="85">
        <f t="shared" si="10"/>
        <v>324239.68401247589</v>
      </c>
      <c r="K74" s="85">
        <f t="shared" si="0"/>
        <v>543.1</v>
      </c>
      <c r="L74" s="85">
        <f t="shared" si="1"/>
        <v>920.87765163148595</v>
      </c>
      <c r="M74" s="85">
        <f t="shared" si="2"/>
        <v>0</v>
      </c>
      <c r="N74" s="85">
        <f t="shared" si="3"/>
        <v>1463.977651631486</v>
      </c>
      <c r="O74" s="85">
        <f t="shared" si="4"/>
        <v>323318.80636084441</v>
      </c>
      <c r="P74" s="85">
        <f t="shared" si="11"/>
        <v>13454.270000000002</v>
      </c>
      <c r="Q74" s="87">
        <v>24</v>
      </c>
      <c r="R74" s="86">
        <f>IFERROR(EOMONTH(DATE($F$10,$F$9,1),24-1),"")</f>
        <v>45657</v>
      </c>
      <c r="S74" s="85">
        <f t="shared" si="12"/>
        <v>327876.27969990933</v>
      </c>
      <c r="T74" s="85">
        <f t="shared" si="5"/>
        <v>956.31</v>
      </c>
      <c r="U74" s="85">
        <f t="shared" si="6"/>
        <v>770.8413173952506</v>
      </c>
      <c r="V74" s="85">
        <f t="shared" si="7"/>
        <v>0</v>
      </c>
      <c r="W74" s="85">
        <f t="shared" si="8"/>
        <v>1727.1513173952505</v>
      </c>
      <c r="X74" s="85">
        <f t="shared" si="9"/>
        <v>327105.43838251405</v>
      </c>
      <c r="Y74" s="85">
        <f t="shared" si="13"/>
        <v>23557.07</v>
      </c>
    </row>
    <row r="75" spans="8:25">
      <c r="H75" s="93">
        <v>25</v>
      </c>
      <c r="I75" s="92">
        <f>IFERROR(EOMONTH(DATE($C$10,$C$9,1),25-1),"")</f>
        <v>45688</v>
      </c>
      <c r="J75" s="91">
        <f t="shared" si="10"/>
        <v>323318.80636084441</v>
      </c>
      <c r="K75" s="91">
        <f t="shared" si="0"/>
        <v>541.55999999999995</v>
      </c>
      <c r="L75" s="91">
        <f t="shared" si="1"/>
        <v>922.41765163148602</v>
      </c>
      <c r="M75" s="91">
        <f t="shared" si="2"/>
        <v>0</v>
      </c>
      <c r="N75" s="91">
        <f t="shared" si="3"/>
        <v>1463.977651631486</v>
      </c>
      <c r="O75" s="91">
        <f t="shared" si="4"/>
        <v>322396.38870921294</v>
      </c>
      <c r="P75" s="91">
        <f t="shared" si="11"/>
        <v>13995.830000000002</v>
      </c>
      <c r="Q75" s="90">
        <v>25</v>
      </c>
      <c r="R75" s="89">
        <f>IFERROR(EOMONTH(DATE($F$10,$F$9,1),25-1),"")</f>
        <v>45688</v>
      </c>
      <c r="S75" s="88">
        <f t="shared" si="12"/>
        <v>327105.43838251405</v>
      </c>
      <c r="T75" s="88">
        <f t="shared" si="5"/>
        <v>954.06</v>
      </c>
      <c r="U75" s="88">
        <f t="shared" si="6"/>
        <v>773.0913173952506</v>
      </c>
      <c r="V75" s="88">
        <f t="shared" si="7"/>
        <v>0</v>
      </c>
      <c r="W75" s="88">
        <f t="shared" si="8"/>
        <v>1727.1513173952505</v>
      </c>
      <c r="X75" s="88">
        <f t="shared" si="9"/>
        <v>326332.34706511878</v>
      </c>
      <c r="Y75" s="88">
        <f t="shared" si="13"/>
        <v>24511.13</v>
      </c>
    </row>
    <row r="76" spans="8:25">
      <c r="H76" s="87">
        <v>26</v>
      </c>
      <c r="I76" s="86">
        <f>IFERROR(EOMONTH(DATE($C$10,$C$9,1),26-1),"")</f>
        <v>45716</v>
      </c>
      <c r="J76" s="85">
        <f t="shared" si="10"/>
        <v>322396.38870921294</v>
      </c>
      <c r="K76" s="85">
        <f t="shared" si="0"/>
        <v>540.01</v>
      </c>
      <c r="L76" s="85">
        <f t="shared" si="1"/>
        <v>923.96765163148598</v>
      </c>
      <c r="M76" s="85">
        <f t="shared" si="2"/>
        <v>0</v>
      </c>
      <c r="N76" s="85">
        <f t="shared" si="3"/>
        <v>1463.977651631486</v>
      </c>
      <c r="O76" s="85">
        <f t="shared" si="4"/>
        <v>321472.42105758144</v>
      </c>
      <c r="P76" s="85">
        <f t="shared" si="11"/>
        <v>14535.840000000002</v>
      </c>
      <c r="Q76" s="87">
        <v>26</v>
      </c>
      <c r="R76" s="86">
        <f>IFERROR(EOMONTH(DATE($F$10,$F$9,1),26-1),"")</f>
        <v>45716</v>
      </c>
      <c r="S76" s="85">
        <f t="shared" si="12"/>
        <v>326332.34706511878</v>
      </c>
      <c r="T76" s="85">
        <f t="shared" si="5"/>
        <v>951.8</v>
      </c>
      <c r="U76" s="85">
        <f t="shared" si="6"/>
        <v>775.35131739525059</v>
      </c>
      <c r="V76" s="85">
        <f t="shared" si="7"/>
        <v>0</v>
      </c>
      <c r="W76" s="85">
        <f t="shared" si="8"/>
        <v>1727.1513173952505</v>
      </c>
      <c r="X76" s="85">
        <f t="shared" si="9"/>
        <v>325556.99574772356</v>
      </c>
      <c r="Y76" s="85">
        <f t="shared" si="13"/>
        <v>25462.93</v>
      </c>
    </row>
    <row r="77" spans="8:25">
      <c r="H77" s="93">
        <v>27</v>
      </c>
      <c r="I77" s="92">
        <f>IFERROR(EOMONTH(DATE($C$10,$C$9,1),27-1),"")</f>
        <v>45747</v>
      </c>
      <c r="J77" s="91">
        <f t="shared" si="10"/>
        <v>321472.42105758144</v>
      </c>
      <c r="K77" s="91">
        <f t="shared" si="0"/>
        <v>538.47</v>
      </c>
      <c r="L77" s="91">
        <f t="shared" si="1"/>
        <v>925.50765163148594</v>
      </c>
      <c r="M77" s="91">
        <f t="shared" si="2"/>
        <v>0</v>
      </c>
      <c r="N77" s="91">
        <f t="shared" si="3"/>
        <v>1463.977651631486</v>
      </c>
      <c r="O77" s="91">
        <f t="shared" si="4"/>
        <v>320546.91340594995</v>
      </c>
      <c r="P77" s="91">
        <f t="shared" si="11"/>
        <v>15074.310000000001</v>
      </c>
      <c r="Q77" s="90">
        <v>27</v>
      </c>
      <c r="R77" s="89">
        <f>IFERROR(EOMONTH(DATE($F$10,$F$9,1),27-1),"")</f>
        <v>45747</v>
      </c>
      <c r="S77" s="88">
        <f t="shared" si="12"/>
        <v>325556.99574772356</v>
      </c>
      <c r="T77" s="88">
        <f t="shared" si="5"/>
        <v>949.54</v>
      </c>
      <c r="U77" s="88">
        <f t="shared" si="6"/>
        <v>777.61131739525058</v>
      </c>
      <c r="V77" s="88">
        <f t="shared" si="7"/>
        <v>0</v>
      </c>
      <c r="W77" s="88">
        <f t="shared" si="8"/>
        <v>1727.1513173952505</v>
      </c>
      <c r="X77" s="88">
        <f t="shared" si="9"/>
        <v>324779.38443032833</v>
      </c>
      <c r="Y77" s="88">
        <f t="shared" si="13"/>
        <v>26412.47</v>
      </c>
    </row>
    <row r="78" spans="8:25">
      <c r="H78" s="87">
        <v>28</v>
      </c>
      <c r="I78" s="86">
        <f>IFERROR(EOMONTH(DATE($C$10,$C$9,1),28-1),"")</f>
        <v>45777</v>
      </c>
      <c r="J78" s="85">
        <f t="shared" si="10"/>
        <v>320546.91340594995</v>
      </c>
      <c r="K78" s="85">
        <f t="shared" si="0"/>
        <v>536.91999999999996</v>
      </c>
      <c r="L78" s="85">
        <f t="shared" si="1"/>
        <v>927.05765163148601</v>
      </c>
      <c r="M78" s="85">
        <f t="shared" si="2"/>
        <v>0</v>
      </c>
      <c r="N78" s="85">
        <f t="shared" si="3"/>
        <v>1463.977651631486</v>
      </c>
      <c r="O78" s="85">
        <f t="shared" si="4"/>
        <v>319619.85575431847</v>
      </c>
      <c r="P78" s="85">
        <f t="shared" si="11"/>
        <v>15611.230000000001</v>
      </c>
      <c r="Q78" s="87">
        <v>28</v>
      </c>
      <c r="R78" s="86">
        <f>IFERROR(EOMONTH(DATE($F$10,$F$9,1),28-1),"")</f>
        <v>45777</v>
      </c>
      <c r="S78" s="85">
        <f t="shared" si="12"/>
        <v>324779.38443032833</v>
      </c>
      <c r="T78" s="85">
        <f t="shared" si="5"/>
        <v>947.27</v>
      </c>
      <c r="U78" s="85">
        <f t="shared" si="6"/>
        <v>779.88131739525056</v>
      </c>
      <c r="V78" s="85">
        <f t="shared" si="7"/>
        <v>0</v>
      </c>
      <c r="W78" s="85">
        <f t="shared" si="8"/>
        <v>1727.1513173952505</v>
      </c>
      <c r="X78" s="85">
        <f t="shared" si="9"/>
        <v>323999.50311293307</v>
      </c>
      <c r="Y78" s="85">
        <f t="shared" si="13"/>
        <v>27359.74</v>
      </c>
    </row>
    <row r="79" spans="8:25">
      <c r="H79" s="93">
        <v>29</v>
      </c>
      <c r="I79" s="92">
        <f>IFERROR(EOMONTH(DATE($C$10,$C$9,1),29-1),"")</f>
        <v>45808</v>
      </c>
      <c r="J79" s="91">
        <f t="shared" si="10"/>
        <v>319619.85575431847</v>
      </c>
      <c r="K79" s="91">
        <f t="shared" si="0"/>
        <v>535.36</v>
      </c>
      <c r="L79" s="91">
        <f t="shared" si="1"/>
        <v>928.61765163148596</v>
      </c>
      <c r="M79" s="91">
        <f t="shared" si="2"/>
        <v>0</v>
      </c>
      <c r="N79" s="91">
        <f t="shared" si="3"/>
        <v>1463.977651631486</v>
      </c>
      <c r="O79" s="91">
        <f t="shared" si="4"/>
        <v>318691.238102687</v>
      </c>
      <c r="P79" s="91">
        <f t="shared" si="11"/>
        <v>16146.590000000002</v>
      </c>
      <c r="Q79" s="90">
        <v>29</v>
      </c>
      <c r="R79" s="89">
        <f>IFERROR(EOMONTH(DATE($F$10,$F$9,1),29-1),"")</f>
        <v>45808</v>
      </c>
      <c r="S79" s="88">
        <f t="shared" si="12"/>
        <v>323999.50311293307</v>
      </c>
      <c r="T79" s="88">
        <f t="shared" si="5"/>
        <v>945</v>
      </c>
      <c r="U79" s="88">
        <f t="shared" si="6"/>
        <v>782.15131739525054</v>
      </c>
      <c r="V79" s="88">
        <f t="shared" si="7"/>
        <v>0</v>
      </c>
      <c r="W79" s="88">
        <f t="shared" si="8"/>
        <v>1727.1513173952505</v>
      </c>
      <c r="X79" s="88">
        <f t="shared" si="9"/>
        <v>323217.3517955378</v>
      </c>
      <c r="Y79" s="88">
        <f t="shared" si="13"/>
        <v>28304.74</v>
      </c>
    </row>
    <row r="80" spans="8:25">
      <c r="H80" s="87">
        <v>30</v>
      </c>
      <c r="I80" s="86">
        <f>IFERROR(EOMONTH(DATE($C$10,$C$9,1),30-1),"")</f>
        <v>45838</v>
      </c>
      <c r="J80" s="85">
        <f t="shared" si="10"/>
        <v>318691.238102687</v>
      </c>
      <c r="K80" s="85">
        <f t="shared" si="0"/>
        <v>533.80999999999995</v>
      </c>
      <c r="L80" s="85">
        <f t="shared" si="1"/>
        <v>930.16765163148602</v>
      </c>
      <c r="M80" s="85">
        <f t="shared" si="2"/>
        <v>0</v>
      </c>
      <c r="N80" s="85">
        <f t="shared" si="3"/>
        <v>1463.977651631486</v>
      </c>
      <c r="O80" s="85">
        <f t="shared" si="4"/>
        <v>317761.07045105554</v>
      </c>
      <c r="P80" s="85">
        <f t="shared" si="11"/>
        <v>16680.400000000001</v>
      </c>
      <c r="Q80" s="87">
        <v>30</v>
      </c>
      <c r="R80" s="86">
        <f>IFERROR(EOMONTH(DATE($F$10,$F$9,1),30-1),"")</f>
        <v>45838</v>
      </c>
      <c r="S80" s="85">
        <f t="shared" si="12"/>
        <v>323217.3517955378</v>
      </c>
      <c r="T80" s="85">
        <f t="shared" si="5"/>
        <v>942.72</v>
      </c>
      <c r="U80" s="85">
        <f t="shared" si="6"/>
        <v>784.43131739525052</v>
      </c>
      <c r="V80" s="85">
        <f t="shared" si="7"/>
        <v>0</v>
      </c>
      <c r="W80" s="85">
        <f t="shared" si="8"/>
        <v>1727.1513173952505</v>
      </c>
      <c r="X80" s="85">
        <f t="shared" si="9"/>
        <v>322432.92047814257</v>
      </c>
      <c r="Y80" s="85">
        <f t="shared" si="13"/>
        <v>29247.460000000003</v>
      </c>
    </row>
    <row r="81" spans="8:25">
      <c r="H81" s="93">
        <v>31</v>
      </c>
      <c r="I81" s="92">
        <f>IFERROR(EOMONTH(DATE($C$10,$C$9,1),31-1),"")</f>
        <v>45869</v>
      </c>
      <c r="J81" s="91">
        <f t="shared" si="10"/>
        <v>317761.07045105554</v>
      </c>
      <c r="K81" s="91">
        <f t="shared" si="0"/>
        <v>532.25</v>
      </c>
      <c r="L81" s="91">
        <f t="shared" si="1"/>
        <v>931.72765163148597</v>
      </c>
      <c r="M81" s="91">
        <f t="shared" si="2"/>
        <v>0</v>
      </c>
      <c r="N81" s="91">
        <f t="shared" si="3"/>
        <v>1463.977651631486</v>
      </c>
      <c r="O81" s="91">
        <f t="shared" si="4"/>
        <v>316829.34279942408</v>
      </c>
      <c r="P81" s="91">
        <f t="shared" si="11"/>
        <v>17212.650000000001</v>
      </c>
      <c r="Q81" s="90">
        <v>31</v>
      </c>
      <c r="R81" s="89">
        <f>IFERROR(EOMONTH(DATE($F$10,$F$9,1),31-1),"")</f>
        <v>45869</v>
      </c>
      <c r="S81" s="88">
        <f t="shared" si="12"/>
        <v>322432.92047814257</v>
      </c>
      <c r="T81" s="88">
        <f t="shared" si="5"/>
        <v>940.43</v>
      </c>
      <c r="U81" s="88">
        <f t="shared" si="6"/>
        <v>786.72131739525059</v>
      </c>
      <c r="V81" s="88">
        <f t="shared" si="7"/>
        <v>0</v>
      </c>
      <c r="W81" s="88">
        <f t="shared" si="8"/>
        <v>1727.1513173952505</v>
      </c>
      <c r="X81" s="88">
        <f t="shared" si="9"/>
        <v>321646.19916074729</v>
      </c>
      <c r="Y81" s="88">
        <f t="shared" si="13"/>
        <v>30187.890000000003</v>
      </c>
    </row>
    <row r="82" spans="8:25">
      <c r="H82" s="87">
        <v>32</v>
      </c>
      <c r="I82" s="86">
        <f>IFERROR(EOMONTH(DATE($C$10,$C$9,1),32-1),"")</f>
        <v>45900</v>
      </c>
      <c r="J82" s="85">
        <f t="shared" si="10"/>
        <v>316829.34279942408</v>
      </c>
      <c r="K82" s="85">
        <f t="shared" si="0"/>
        <v>530.69000000000005</v>
      </c>
      <c r="L82" s="85">
        <f t="shared" si="1"/>
        <v>933.28765163148591</v>
      </c>
      <c r="M82" s="85">
        <f t="shared" si="2"/>
        <v>0</v>
      </c>
      <c r="N82" s="85">
        <f t="shared" si="3"/>
        <v>1463.977651631486</v>
      </c>
      <c r="O82" s="85">
        <f t="shared" si="4"/>
        <v>315896.05514779262</v>
      </c>
      <c r="P82" s="85">
        <f t="shared" si="11"/>
        <v>17743.34</v>
      </c>
      <c r="Q82" s="87">
        <v>32</v>
      </c>
      <c r="R82" s="86">
        <f>IFERROR(EOMONTH(DATE($F$10,$F$9,1),32-1),"")</f>
        <v>45900</v>
      </c>
      <c r="S82" s="85">
        <f t="shared" si="12"/>
        <v>321646.19916074729</v>
      </c>
      <c r="T82" s="85">
        <f t="shared" si="5"/>
        <v>938.13</v>
      </c>
      <c r="U82" s="85">
        <f t="shared" si="6"/>
        <v>789.02131739525055</v>
      </c>
      <c r="V82" s="85">
        <f t="shared" si="7"/>
        <v>0</v>
      </c>
      <c r="W82" s="85">
        <f t="shared" si="8"/>
        <v>1727.1513173952505</v>
      </c>
      <c r="X82" s="85">
        <f t="shared" si="9"/>
        <v>320857.17784335202</v>
      </c>
      <c r="Y82" s="85">
        <f t="shared" si="13"/>
        <v>31126.020000000004</v>
      </c>
    </row>
    <row r="83" spans="8:25">
      <c r="H83" s="93">
        <v>33</v>
      </c>
      <c r="I83" s="92">
        <f>IFERROR(EOMONTH(DATE($C$10,$C$9,1),33-1),"")</f>
        <v>45930</v>
      </c>
      <c r="J83" s="91">
        <f t="shared" si="10"/>
        <v>315896.05514779262</v>
      </c>
      <c r="K83" s="91">
        <f t="shared" si="0"/>
        <v>529.13</v>
      </c>
      <c r="L83" s="91">
        <f t="shared" si="1"/>
        <v>934.84765163148597</v>
      </c>
      <c r="M83" s="91">
        <f t="shared" si="2"/>
        <v>0</v>
      </c>
      <c r="N83" s="91">
        <f t="shared" si="3"/>
        <v>1463.977651631486</v>
      </c>
      <c r="O83" s="91">
        <f t="shared" si="4"/>
        <v>314961.20749616111</v>
      </c>
      <c r="P83" s="91">
        <f t="shared" si="11"/>
        <v>18272.47</v>
      </c>
      <c r="Q83" s="90">
        <v>33</v>
      </c>
      <c r="R83" s="89">
        <f>IFERROR(EOMONTH(DATE($F$10,$F$9,1),33-1),"")</f>
        <v>45930</v>
      </c>
      <c r="S83" s="88">
        <f t="shared" si="12"/>
        <v>320857.17784335202</v>
      </c>
      <c r="T83" s="88">
        <f t="shared" si="5"/>
        <v>935.83</v>
      </c>
      <c r="U83" s="88">
        <f t="shared" si="6"/>
        <v>791.3213173952505</v>
      </c>
      <c r="V83" s="88">
        <f t="shared" si="7"/>
        <v>0</v>
      </c>
      <c r="W83" s="88">
        <f t="shared" si="8"/>
        <v>1727.1513173952505</v>
      </c>
      <c r="X83" s="88">
        <f t="shared" si="9"/>
        <v>320065.85652595677</v>
      </c>
      <c r="Y83" s="88">
        <f t="shared" si="13"/>
        <v>32061.850000000006</v>
      </c>
    </row>
    <row r="84" spans="8:25">
      <c r="H84" s="87">
        <v>34</v>
      </c>
      <c r="I84" s="86">
        <f>IFERROR(EOMONTH(DATE($C$10,$C$9,1),34-1),"")</f>
        <v>45961</v>
      </c>
      <c r="J84" s="85">
        <f t="shared" si="10"/>
        <v>314961.20749616111</v>
      </c>
      <c r="K84" s="85">
        <f t="shared" si="0"/>
        <v>527.55999999999995</v>
      </c>
      <c r="L84" s="85">
        <f t="shared" si="1"/>
        <v>936.41765163148602</v>
      </c>
      <c r="M84" s="85">
        <f t="shared" si="2"/>
        <v>0</v>
      </c>
      <c r="N84" s="85">
        <f t="shared" si="3"/>
        <v>1463.977651631486</v>
      </c>
      <c r="O84" s="85">
        <f t="shared" si="4"/>
        <v>314024.78984452965</v>
      </c>
      <c r="P84" s="85">
        <f t="shared" si="11"/>
        <v>18800.030000000002</v>
      </c>
      <c r="Q84" s="87">
        <v>34</v>
      </c>
      <c r="R84" s="86">
        <f>IFERROR(EOMONTH(DATE($F$10,$F$9,1),34-1),"")</f>
        <v>45961</v>
      </c>
      <c r="S84" s="85">
        <f t="shared" si="12"/>
        <v>320065.85652595677</v>
      </c>
      <c r="T84" s="85">
        <f t="shared" si="5"/>
        <v>933.53</v>
      </c>
      <c r="U84" s="85">
        <f t="shared" si="6"/>
        <v>793.62131739525057</v>
      </c>
      <c r="V84" s="85">
        <f t="shared" si="7"/>
        <v>0</v>
      </c>
      <c r="W84" s="85">
        <f t="shared" si="8"/>
        <v>1727.1513173952505</v>
      </c>
      <c r="X84" s="85">
        <f t="shared" si="9"/>
        <v>319272.23520856153</v>
      </c>
      <c r="Y84" s="85">
        <f t="shared" si="13"/>
        <v>32995.380000000005</v>
      </c>
    </row>
    <row r="85" spans="8:25">
      <c r="H85" s="93">
        <v>35</v>
      </c>
      <c r="I85" s="92">
        <f>IFERROR(EOMONTH(DATE($C$10,$C$9,1),35-1),"")</f>
        <v>45991</v>
      </c>
      <c r="J85" s="91">
        <f t="shared" si="10"/>
        <v>314024.78984452965</v>
      </c>
      <c r="K85" s="91">
        <f t="shared" si="0"/>
        <v>525.99</v>
      </c>
      <c r="L85" s="91">
        <f t="shared" si="1"/>
        <v>937.98765163148596</v>
      </c>
      <c r="M85" s="91">
        <f t="shared" si="2"/>
        <v>0</v>
      </c>
      <c r="N85" s="91">
        <f t="shared" si="3"/>
        <v>1463.977651631486</v>
      </c>
      <c r="O85" s="91">
        <f t="shared" si="4"/>
        <v>313086.80219289818</v>
      </c>
      <c r="P85" s="91">
        <f t="shared" si="11"/>
        <v>19326.020000000004</v>
      </c>
      <c r="Q85" s="90">
        <v>35</v>
      </c>
      <c r="R85" s="89">
        <f>IFERROR(EOMONTH(DATE($F$10,$F$9,1),35-1),"")</f>
        <v>45991</v>
      </c>
      <c r="S85" s="88">
        <f t="shared" si="12"/>
        <v>319272.23520856153</v>
      </c>
      <c r="T85" s="88">
        <f t="shared" si="5"/>
        <v>931.21</v>
      </c>
      <c r="U85" s="88">
        <f t="shared" si="6"/>
        <v>795.94131739525051</v>
      </c>
      <c r="V85" s="88">
        <f t="shared" si="7"/>
        <v>0</v>
      </c>
      <c r="W85" s="88">
        <f t="shared" si="8"/>
        <v>1727.1513173952505</v>
      </c>
      <c r="X85" s="88">
        <f t="shared" si="9"/>
        <v>318476.29389116628</v>
      </c>
      <c r="Y85" s="88">
        <f t="shared" si="13"/>
        <v>33926.590000000004</v>
      </c>
    </row>
    <row r="86" spans="8:25">
      <c r="H86" s="87">
        <v>36</v>
      </c>
      <c r="I86" s="86">
        <f>IFERROR(EOMONTH(DATE($C$10,$C$9,1),36-1),"")</f>
        <v>46022</v>
      </c>
      <c r="J86" s="85">
        <f t="shared" si="10"/>
        <v>313086.80219289818</v>
      </c>
      <c r="K86" s="85">
        <f t="shared" si="0"/>
        <v>524.41999999999996</v>
      </c>
      <c r="L86" s="85">
        <f t="shared" si="1"/>
        <v>939.55765163148601</v>
      </c>
      <c r="M86" s="85">
        <f t="shared" si="2"/>
        <v>0</v>
      </c>
      <c r="N86" s="85">
        <f t="shared" si="3"/>
        <v>1463.977651631486</v>
      </c>
      <c r="O86" s="85">
        <f t="shared" si="4"/>
        <v>312147.2445412667</v>
      </c>
      <c r="P86" s="85">
        <f t="shared" si="11"/>
        <v>19850.440000000002</v>
      </c>
      <c r="Q86" s="87">
        <v>36</v>
      </c>
      <c r="R86" s="86">
        <f>IFERROR(EOMONTH(DATE($F$10,$F$9,1),36-1),"")</f>
        <v>46022</v>
      </c>
      <c r="S86" s="85">
        <f t="shared" si="12"/>
        <v>318476.29389116628</v>
      </c>
      <c r="T86" s="85">
        <f t="shared" si="5"/>
        <v>928.89</v>
      </c>
      <c r="U86" s="85">
        <f t="shared" si="6"/>
        <v>798.26131739525056</v>
      </c>
      <c r="V86" s="85">
        <f t="shared" si="7"/>
        <v>0</v>
      </c>
      <c r="W86" s="85">
        <f t="shared" si="8"/>
        <v>1727.1513173952505</v>
      </c>
      <c r="X86" s="85">
        <f t="shared" si="9"/>
        <v>317678.03257377102</v>
      </c>
      <c r="Y86" s="85">
        <f t="shared" si="13"/>
        <v>34855.480000000003</v>
      </c>
    </row>
    <row r="87" spans="8:25">
      <c r="H87" s="93">
        <v>37</v>
      </c>
      <c r="I87" s="92">
        <f>IFERROR(EOMONTH(DATE($C$10,$C$9,1),37-1),"")</f>
        <v>46053</v>
      </c>
      <c r="J87" s="91">
        <f t="shared" si="10"/>
        <v>312147.2445412667</v>
      </c>
      <c r="K87" s="91">
        <f t="shared" si="0"/>
        <v>522.85</v>
      </c>
      <c r="L87" s="91">
        <f t="shared" si="1"/>
        <v>941.12765163148595</v>
      </c>
      <c r="M87" s="91">
        <f t="shared" si="2"/>
        <v>0</v>
      </c>
      <c r="N87" s="91">
        <f t="shared" si="3"/>
        <v>1463.977651631486</v>
      </c>
      <c r="O87" s="91">
        <f t="shared" si="4"/>
        <v>311206.11688963522</v>
      </c>
      <c r="P87" s="91">
        <f t="shared" si="11"/>
        <v>20373.29</v>
      </c>
      <c r="Q87" s="90">
        <v>37</v>
      </c>
      <c r="R87" s="89">
        <f>IFERROR(EOMONTH(DATE($F$10,$F$9,1),37-1),"")</f>
        <v>46053</v>
      </c>
      <c r="S87" s="88">
        <f t="shared" si="12"/>
        <v>317678.03257377102</v>
      </c>
      <c r="T87" s="88">
        <f t="shared" si="5"/>
        <v>926.56</v>
      </c>
      <c r="U87" s="88">
        <f t="shared" si="6"/>
        <v>800.5913173952506</v>
      </c>
      <c r="V87" s="88">
        <f t="shared" si="7"/>
        <v>0</v>
      </c>
      <c r="W87" s="88">
        <f t="shared" si="8"/>
        <v>1727.1513173952505</v>
      </c>
      <c r="X87" s="88">
        <f t="shared" si="9"/>
        <v>316877.44125637575</v>
      </c>
      <c r="Y87" s="88">
        <f t="shared" si="13"/>
        <v>35782.04</v>
      </c>
    </row>
    <row r="88" spans="8:25">
      <c r="H88" s="87">
        <v>38</v>
      </c>
      <c r="I88" s="86">
        <f>IFERROR(EOMONTH(DATE($C$10,$C$9,1),38-1),"")</f>
        <v>46081</v>
      </c>
      <c r="J88" s="85">
        <f t="shared" si="10"/>
        <v>311206.11688963522</v>
      </c>
      <c r="K88" s="85">
        <f t="shared" si="0"/>
        <v>521.27</v>
      </c>
      <c r="L88" s="85">
        <f t="shared" si="1"/>
        <v>942.70765163148599</v>
      </c>
      <c r="M88" s="85">
        <f t="shared" si="2"/>
        <v>0</v>
      </c>
      <c r="N88" s="85">
        <f t="shared" si="3"/>
        <v>1463.977651631486</v>
      </c>
      <c r="O88" s="85">
        <f t="shared" si="4"/>
        <v>310263.40923800372</v>
      </c>
      <c r="P88" s="85">
        <f t="shared" si="11"/>
        <v>20894.560000000001</v>
      </c>
      <c r="Q88" s="87">
        <v>38</v>
      </c>
      <c r="R88" s="86">
        <f>IFERROR(EOMONTH(DATE($F$10,$F$9,1),38-1),"")</f>
        <v>46081</v>
      </c>
      <c r="S88" s="85">
        <f t="shared" si="12"/>
        <v>316877.44125637575</v>
      </c>
      <c r="T88" s="85">
        <f t="shared" si="5"/>
        <v>924.23</v>
      </c>
      <c r="U88" s="85">
        <f t="shared" si="6"/>
        <v>802.92131739525053</v>
      </c>
      <c r="V88" s="85">
        <f t="shared" si="7"/>
        <v>0</v>
      </c>
      <c r="W88" s="85">
        <f t="shared" si="8"/>
        <v>1727.1513173952505</v>
      </c>
      <c r="X88" s="85">
        <f t="shared" si="9"/>
        <v>316074.51993898052</v>
      </c>
      <c r="Y88" s="85">
        <f t="shared" si="13"/>
        <v>36706.270000000004</v>
      </c>
    </row>
    <row r="89" spans="8:25">
      <c r="H89" s="93">
        <v>39</v>
      </c>
      <c r="I89" s="92">
        <f>IFERROR(EOMONTH(DATE($C$10,$C$9,1),39-1),"")</f>
        <v>46112</v>
      </c>
      <c r="J89" s="91">
        <f t="shared" si="10"/>
        <v>310263.40923800372</v>
      </c>
      <c r="K89" s="91">
        <f t="shared" si="0"/>
        <v>519.69000000000005</v>
      </c>
      <c r="L89" s="91">
        <f t="shared" si="1"/>
        <v>944.28765163148591</v>
      </c>
      <c r="M89" s="91">
        <f t="shared" si="2"/>
        <v>0</v>
      </c>
      <c r="N89" s="91">
        <f t="shared" si="3"/>
        <v>1463.977651631486</v>
      </c>
      <c r="O89" s="91">
        <f t="shared" si="4"/>
        <v>309319.12158637226</v>
      </c>
      <c r="P89" s="91">
        <f t="shared" si="11"/>
        <v>21414.25</v>
      </c>
      <c r="Q89" s="90">
        <v>39</v>
      </c>
      <c r="R89" s="89">
        <f>IFERROR(EOMONTH(DATE($F$10,$F$9,1),39-1),"")</f>
        <v>46112</v>
      </c>
      <c r="S89" s="88">
        <f t="shared" si="12"/>
        <v>316074.51993898052</v>
      </c>
      <c r="T89" s="88">
        <f t="shared" si="5"/>
        <v>921.88</v>
      </c>
      <c r="U89" s="88">
        <f t="shared" si="6"/>
        <v>805.27131739525055</v>
      </c>
      <c r="V89" s="88">
        <f t="shared" si="7"/>
        <v>0</v>
      </c>
      <c r="W89" s="88">
        <f t="shared" si="8"/>
        <v>1727.1513173952505</v>
      </c>
      <c r="X89" s="88">
        <f t="shared" si="9"/>
        <v>315269.24862158526</v>
      </c>
      <c r="Y89" s="88">
        <f t="shared" si="13"/>
        <v>37628.15</v>
      </c>
    </row>
    <row r="90" spans="8:25">
      <c r="H90" s="87">
        <v>40</v>
      </c>
      <c r="I90" s="86">
        <f>IFERROR(EOMONTH(DATE($C$10,$C$9,1),40-1),"")</f>
        <v>46142</v>
      </c>
      <c r="J90" s="85">
        <f t="shared" si="10"/>
        <v>309319.12158637226</v>
      </c>
      <c r="K90" s="85">
        <f t="shared" si="0"/>
        <v>518.11</v>
      </c>
      <c r="L90" s="85">
        <f t="shared" si="1"/>
        <v>945.86765163148596</v>
      </c>
      <c r="M90" s="85">
        <f t="shared" si="2"/>
        <v>0</v>
      </c>
      <c r="N90" s="85">
        <f t="shared" si="3"/>
        <v>1463.977651631486</v>
      </c>
      <c r="O90" s="85">
        <f t="shared" si="4"/>
        <v>308373.25393474079</v>
      </c>
      <c r="P90" s="85">
        <f t="shared" si="11"/>
        <v>21932.36</v>
      </c>
      <c r="Q90" s="87">
        <v>40</v>
      </c>
      <c r="R90" s="86">
        <f>IFERROR(EOMONTH(DATE($F$10,$F$9,1),40-1),"")</f>
        <v>46142</v>
      </c>
      <c r="S90" s="85">
        <f t="shared" si="12"/>
        <v>315269.24862158526</v>
      </c>
      <c r="T90" s="85">
        <f t="shared" si="5"/>
        <v>919.54</v>
      </c>
      <c r="U90" s="85">
        <f t="shared" si="6"/>
        <v>807.61131739525058</v>
      </c>
      <c r="V90" s="85">
        <f t="shared" si="7"/>
        <v>0</v>
      </c>
      <c r="W90" s="85">
        <f t="shared" si="8"/>
        <v>1727.1513173952505</v>
      </c>
      <c r="X90" s="85">
        <f t="shared" si="9"/>
        <v>314461.63730419002</v>
      </c>
      <c r="Y90" s="85">
        <f t="shared" si="13"/>
        <v>38547.69</v>
      </c>
    </row>
    <row r="91" spans="8:25">
      <c r="H91" s="93">
        <v>41</v>
      </c>
      <c r="I91" s="92">
        <f>IFERROR(EOMONTH(DATE($C$10,$C$9,1),41-1),"")</f>
        <v>46173</v>
      </c>
      <c r="J91" s="91">
        <f t="shared" si="10"/>
        <v>308373.25393474079</v>
      </c>
      <c r="K91" s="91">
        <f t="shared" si="0"/>
        <v>516.53</v>
      </c>
      <c r="L91" s="91">
        <f t="shared" si="1"/>
        <v>947.447651631486</v>
      </c>
      <c r="M91" s="91">
        <f t="shared" si="2"/>
        <v>0</v>
      </c>
      <c r="N91" s="91">
        <f t="shared" si="3"/>
        <v>1463.977651631486</v>
      </c>
      <c r="O91" s="91">
        <f t="shared" si="4"/>
        <v>307425.8062831093</v>
      </c>
      <c r="P91" s="91">
        <f t="shared" si="11"/>
        <v>22448.89</v>
      </c>
      <c r="Q91" s="90">
        <v>41</v>
      </c>
      <c r="R91" s="89">
        <f>IFERROR(EOMONTH(DATE($F$10,$F$9,1),41-1),"")</f>
        <v>46173</v>
      </c>
      <c r="S91" s="88">
        <f t="shared" si="12"/>
        <v>314461.63730419002</v>
      </c>
      <c r="T91" s="88">
        <f t="shared" si="5"/>
        <v>917.18</v>
      </c>
      <c r="U91" s="88">
        <f t="shared" si="6"/>
        <v>809.97131739525059</v>
      </c>
      <c r="V91" s="88">
        <f t="shared" si="7"/>
        <v>0</v>
      </c>
      <c r="W91" s="88">
        <f t="shared" si="8"/>
        <v>1727.1513173952505</v>
      </c>
      <c r="X91" s="88">
        <f t="shared" si="9"/>
        <v>313651.66598679475</v>
      </c>
      <c r="Y91" s="88">
        <f t="shared" si="13"/>
        <v>39464.870000000003</v>
      </c>
    </row>
    <row r="92" spans="8:25">
      <c r="H92" s="87">
        <v>42</v>
      </c>
      <c r="I92" s="86">
        <f>IFERROR(EOMONTH(DATE($C$10,$C$9,1),42-1),"")</f>
        <v>46203</v>
      </c>
      <c r="J92" s="85">
        <f t="shared" si="10"/>
        <v>307425.8062831093</v>
      </c>
      <c r="K92" s="85">
        <f t="shared" si="0"/>
        <v>514.94000000000005</v>
      </c>
      <c r="L92" s="85">
        <f t="shared" si="1"/>
        <v>949.03765163148591</v>
      </c>
      <c r="M92" s="85">
        <f t="shared" si="2"/>
        <v>0</v>
      </c>
      <c r="N92" s="85">
        <f t="shared" si="3"/>
        <v>1463.977651631486</v>
      </c>
      <c r="O92" s="85">
        <f t="shared" si="4"/>
        <v>306476.76863147784</v>
      </c>
      <c r="P92" s="85">
        <f t="shared" si="11"/>
        <v>22963.829999999998</v>
      </c>
      <c r="Q92" s="87">
        <v>42</v>
      </c>
      <c r="R92" s="86">
        <f>IFERROR(EOMONTH(DATE($F$10,$F$9,1),42-1),"")</f>
        <v>46203</v>
      </c>
      <c r="S92" s="85">
        <f t="shared" si="12"/>
        <v>313651.66598679475</v>
      </c>
      <c r="T92" s="85">
        <f t="shared" si="5"/>
        <v>914.82</v>
      </c>
      <c r="U92" s="85">
        <f t="shared" si="6"/>
        <v>812.33131739525049</v>
      </c>
      <c r="V92" s="85">
        <f t="shared" si="7"/>
        <v>0</v>
      </c>
      <c r="W92" s="85">
        <f t="shared" si="8"/>
        <v>1727.1513173952505</v>
      </c>
      <c r="X92" s="85">
        <f t="shared" si="9"/>
        <v>312839.33466939948</v>
      </c>
      <c r="Y92" s="85">
        <f t="shared" si="13"/>
        <v>40379.69</v>
      </c>
    </row>
    <row r="93" spans="8:25">
      <c r="H93" s="93">
        <v>43</v>
      </c>
      <c r="I93" s="92">
        <f>IFERROR(EOMONTH(DATE($C$10,$C$9,1),43-1),"")</f>
        <v>46234</v>
      </c>
      <c r="J93" s="91">
        <f t="shared" si="10"/>
        <v>306476.76863147784</v>
      </c>
      <c r="K93" s="91">
        <f t="shared" si="0"/>
        <v>513.35</v>
      </c>
      <c r="L93" s="91">
        <f t="shared" si="1"/>
        <v>950.62765163148595</v>
      </c>
      <c r="M93" s="91">
        <f t="shared" si="2"/>
        <v>0</v>
      </c>
      <c r="N93" s="91">
        <f t="shared" si="3"/>
        <v>1463.977651631486</v>
      </c>
      <c r="O93" s="91">
        <f t="shared" si="4"/>
        <v>305526.14097984636</v>
      </c>
      <c r="P93" s="91">
        <f t="shared" si="11"/>
        <v>23477.179999999997</v>
      </c>
      <c r="Q93" s="90">
        <v>43</v>
      </c>
      <c r="R93" s="89">
        <f>IFERROR(EOMONTH(DATE($F$10,$F$9,1),43-1),"")</f>
        <v>46234</v>
      </c>
      <c r="S93" s="88">
        <f t="shared" si="12"/>
        <v>312839.33466939948</v>
      </c>
      <c r="T93" s="88">
        <f t="shared" si="5"/>
        <v>912.45</v>
      </c>
      <c r="U93" s="88">
        <f t="shared" si="6"/>
        <v>814.7013173952505</v>
      </c>
      <c r="V93" s="88">
        <f t="shared" si="7"/>
        <v>0</v>
      </c>
      <c r="W93" s="88">
        <f t="shared" si="8"/>
        <v>1727.1513173952505</v>
      </c>
      <c r="X93" s="88">
        <f t="shared" si="9"/>
        <v>312024.63335200422</v>
      </c>
      <c r="Y93" s="88">
        <f t="shared" si="13"/>
        <v>41292.14</v>
      </c>
    </row>
    <row r="94" spans="8:25">
      <c r="H94" s="87">
        <v>44</v>
      </c>
      <c r="I94" s="86">
        <f>IFERROR(EOMONTH(DATE($C$10,$C$9,1),44-1),"")</f>
        <v>46265</v>
      </c>
      <c r="J94" s="85">
        <f t="shared" si="10"/>
        <v>305526.14097984636</v>
      </c>
      <c r="K94" s="85">
        <f t="shared" si="0"/>
        <v>511.76</v>
      </c>
      <c r="L94" s="85">
        <f t="shared" si="1"/>
        <v>952.21765163148598</v>
      </c>
      <c r="M94" s="85">
        <f t="shared" si="2"/>
        <v>0</v>
      </c>
      <c r="N94" s="85">
        <f t="shared" si="3"/>
        <v>1463.977651631486</v>
      </c>
      <c r="O94" s="85">
        <f t="shared" si="4"/>
        <v>304573.92332821485</v>
      </c>
      <c r="P94" s="85">
        <f t="shared" si="11"/>
        <v>23988.939999999995</v>
      </c>
      <c r="Q94" s="87">
        <v>44</v>
      </c>
      <c r="R94" s="86">
        <f>IFERROR(EOMONTH(DATE($F$10,$F$9,1),44-1),"")</f>
        <v>46265</v>
      </c>
      <c r="S94" s="85">
        <f t="shared" si="12"/>
        <v>312024.63335200422</v>
      </c>
      <c r="T94" s="85">
        <f t="shared" si="5"/>
        <v>910.07</v>
      </c>
      <c r="U94" s="85">
        <f t="shared" si="6"/>
        <v>817.08131739525049</v>
      </c>
      <c r="V94" s="85">
        <f t="shared" si="7"/>
        <v>0</v>
      </c>
      <c r="W94" s="85">
        <f t="shared" si="8"/>
        <v>1727.1513173952505</v>
      </c>
      <c r="X94" s="85">
        <f t="shared" si="9"/>
        <v>311207.55203460896</v>
      </c>
      <c r="Y94" s="85">
        <f t="shared" si="13"/>
        <v>42202.21</v>
      </c>
    </row>
    <row r="95" spans="8:25">
      <c r="H95" s="93">
        <v>45</v>
      </c>
      <c r="I95" s="92">
        <f>IFERROR(EOMONTH(DATE($C$10,$C$9,1),45-1),"")</f>
        <v>46295</v>
      </c>
      <c r="J95" s="91">
        <f t="shared" si="10"/>
        <v>304573.92332821485</v>
      </c>
      <c r="K95" s="91">
        <f t="shared" si="0"/>
        <v>510.16</v>
      </c>
      <c r="L95" s="91">
        <f t="shared" si="1"/>
        <v>953.81765163148589</v>
      </c>
      <c r="M95" s="91">
        <f t="shared" si="2"/>
        <v>0</v>
      </c>
      <c r="N95" s="91">
        <f t="shared" si="3"/>
        <v>1463.977651631486</v>
      </c>
      <c r="O95" s="91">
        <f t="shared" si="4"/>
        <v>303620.10567658336</v>
      </c>
      <c r="P95" s="91">
        <f t="shared" si="11"/>
        <v>24499.099999999995</v>
      </c>
      <c r="Q95" s="90">
        <v>45</v>
      </c>
      <c r="R95" s="89">
        <f>IFERROR(EOMONTH(DATE($F$10,$F$9,1),45-1),"")</f>
        <v>46295</v>
      </c>
      <c r="S95" s="88">
        <f t="shared" si="12"/>
        <v>311207.55203460896</v>
      </c>
      <c r="T95" s="88">
        <f t="shared" si="5"/>
        <v>907.69</v>
      </c>
      <c r="U95" s="88">
        <f t="shared" si="6"/>
        <v>819.46131739525049</v>
      </c>
      <c r="V95" s="88">
        <f t="shared" si="7"/>
        <v>0</v>
      </c>
      <c r="W95" s="88">
        <f t="shared" si="8"/>
        <v>1727.1513173952505</v>
      </c>
      <c r="X95" s="88">
        <f t="shared" si="9"/>
        <v>310388.09071721369</v>
      </c>
      <c r="Y95" s="88">
        <f t="shared" si="13"/>
        <v>43109.9</v>
      </c>
    </row>
    <row r="96" spans="8:25">
      <c r="H96" s="87">
        <v>46</v>
      </c>
      <c r="I96" s="86">
        <f>IFERROR(EOMONTH(DATE($C$10,$C$9,1),46-1),"")</f>
        <v>46326</v>
      </c>
      <c r="J96" s="85">
        <f t="shared" si="10"/>
        <v>303620.10567658336</v>
      </c>
      <c r="K96" s="85">
        <f t="shared" si="0"/>
        <v>508.56</v>
      </c>
      <c r="L96" s="85">
        <f t="shared" si="1"/>
        <v>955.41765163148602</v>
      </c>
      <c r="M96" s="85">
        <f t="shared" si="2"/>
        <v>0</v>
      </c>
      <c r="N96" s="85">
        <f t="shared" si="3"/>
        <v>1463.977651631486</v>
      </c>
      <c r="O96" s="85">
        <f t="shared" si="4"/>
        <v>302664.6880249519</v>
      </c>
      <c r="P96" s="85">
        <f t="shared" si="11"/>
        <v>25007.659999999996</v>
      </c>
      <c r="Q96" s="87">
        <v>46</v>
      </c>
      <c r="R96" s="86">
        <f>IFERROR(EOMONTH(DATE($F$10,$F$9,1),46-1),"")</f>
        <v>46326</v>
      </c>
      <c r="S96" s="85">
        <f t="shared" si="12"/>
        <v>310388.09071721369</v>
      </c>
      <c r="T96" s="85">
        <f t="shared" si="5"/>
        <v>905.3</v>
      </c>
      <c r="U96" s="85">
        <f t="shared" si="6"/>
        <v>821.85131739525059</v>
      </c>
      <c r="V96" s="85">
        <f t="shared" si="7"/>
        <v>0</v>
      </c>
      <c r="W96" s="85">
        <f t="shared" si="8"/>
        <v>1727.1513173952505</v>
      </c>
      <c r="X96" s="85">
        <f t="shared" si="9"/>
        <v>309566.23939981847</v>
      </c>
      <c r="Y96" s="85">
        <f t="shared" si="13"/>
        <v>44015.200000000004</v>
      </c>
    </row>
    <row r="97" spans="8:25">
      <c r="H97" s="93">
        <v>47</v>
      </c>
      <c r="I97" s="92">
        <f>IFERROR(EOMONTH(DATE($C$10,$C$9,1),47-1),"")</f>
        <v>46356</v>
      </c>
      <c r="J97" s="91">
        <f t="shared" si="10"/>
        <v>302664.6880249519</v>
      </c>
      <c r="K97" s="91">
        <f t="shared" si="0"/>
        <v>506.96</v>
      </c>
      <c r="L97" s="91">
        <f t="shared" si="1"/>
        <v>957.01765163148593</v>
      </c>
      <c r="M97" s="91">
        <f t="shared" si="2"/>
        <v>0</v>
      </c>
      <c r="N97" s="91">
        <f t="shared" si="3"/>
        <v>1463.977651631486</v>
      </c>
      <c r="O97" s="91">
        <f t="shared" si="4"/>
        <v>301707.6703733204</v>
      </c>
      <c r="P97" s="91">
        <f t="shared" si="11"/>
        <v>25514.619999999995</v>
      </c>
      <c r="Q97" s="90">
        <v>47</v>
      </c>
      <c r="R97" s="89">
        <f>IFERROR(EOMONTH(DATE($F$10,$F$9,1),47-1),"")</f>
        <v>46356</v>
      </c>
      <c r="S97" s="88">
        <f t="shared" si="12"/>
        <v>309566.23939981847</v>
      </c>
      <c r="T97" s="88">
        <f t="shared" si="5"/>
        <v>902.9</v>
      </c>
      <c r="U97" s="88">
        <f t="shared" si="6"/>
        <v>824.25131739525057</v>
      </c>
      <c r="V97" s="88">
        <f t="shared" si="7"/>
        <v>0</v>
      </c>
      <c r="W97" s="88">
        <f t="shared" si="8"/>
        <v>1727.1513173952505</v>
      </c>
      <c r="X97" s="88">
        <f t="shared" si="9"/>
        <v>308741.98808242322</v>
      </c>
      <c r="Y97" s="88">
        <f t="shared" si="13"/>
        <v>44918.100000000006</v>
      </c>
    </row>
    <row r="98" spans="8:25">
      <c r="H98" s="87">
        <v>48</v>
      </c>
      <c r="I98" s="86">
        <f>IFERROR(EOMONTH(DATE($C$10,$C$9,1),48-1),"")</f>
        <v>46387</v>
      </c>
      <c r="J98" s="85">
        <f t="shared" si="10"/>
        <v>301707.6703733204</v>
      </c>
      <c r="K98" s="85">
        <f t="shared" si="0"/>
        <v>505.36</v>
      </c>
      <c r="L98" s="85">
        <f t="shared" si="1"/>
        <v>958.61765163148596</v>
      </c>
      <c r="M98" s="85">
        <f t="shared" si="2"/>
        <v>0</v>
      </c>
      <c r="N98" s="85">
        <f t="shared" si="3"/>
        <v>1463.977651631486</v>
      </c>
      <c r="O98" s="85">
        <f t="shared" si="4"/>
        <v>300749.05272168893</v>
      </c>
      <c r="P98" s="85">
        <f t="shared" si="11"/>
        <v>26019.979999999996</v>
      </c>
      <c r="Q98" s="87">
        <v>48</v>
      </c>
      <c r="R98" s="86">
        <f>IFERROR(EOMONTH(DATE($F$10,$F$9,1),48-1),"")</f>
        <v>46387</v>
      </c>
      <c r="S98" s="85">
        <f t="shared" si="12"/>
        <v>308741.98808242322</v>
      </c>
      <c r="T98" s="85">
        <f t="shared" si="5"/>
        <v>900.5</v>
      </c>
      <c r="U98" s="85">
        <f t="shared" si="6"/>
        <v>826.65131739525054</v>
      </c>
      <c r="V98" s="85">
        <f t="shared" si="7"/>
        <v>0</v>
      </c>
      <c r="W98" s="85">
        <f t="shared" si="8"/>
        <v>1727.1513173952505</v>
      </c>
      <c r="X98" s="85">
        <f t="shared" si="9"/>
        <v>307915.33676502795</v>
      </c>
      <c r="Y98" s="85">
        <f t="shared" si="13"/>
        <v>45818.600000000006</v>
      </c>
    </row>
    <row r="99" spans="8:25">
      <c r="H99" s="93">
        <v>49</v>
      </c>
      <c r="I99" s="92">
        <f>IFERROR(EOMONTH(DATE($C$10,$C$9,1),49-1),"")</f>
        <v>46418</v>
      </c>
      <c r="J99" s="91">
        <f t="shared" si="10"/>
        <v>300749.05272168893</v>
      </c>
      <c r="K99" s="91">
        <f t="shared" si="0"/>
        <v>503.75</v>
      </c>
      <c r="L99" s="91">
        <f t="shared" si="1"/>
        <v>960.22765163148597</v>
      </c>
      <c r="M99" s="91">
        <f t="shared" si="2"/>
        <v>0</v>
      </c>
      <c r="N99" s="91">
        <f t="shared" si="3"/>
        <v>1463.977651631486</v>
      </c>
      <c r="O99" s="91">
        <f t="shared" si="4"/>
        <v>299788.82507005747</v>
      </c>
      <c r="P99" s="91">
        <f t="shared" si="11"/>
        <v>26523.729999999996</v>
      </c>
      <c r="Q99" s="90">
        <v>49</v>
      </c>
      <c r="R99" s="89">
        <f>IFERROR(EOMONTH(DATE($F$10,$F$9,1),49-1),"")</f>
        <v>46418</v>
      </c>
      <c r="S99" s="88">
        <f t="shared" si="12"/>
        <v>307915.33676502795</v>
      </c>
      <c r="T99" s="88">
        <f t="shared" si="5"/>
        <v>898.09</v>
      </c>
      <c r="U99" s="88">
        <f t="shared" si="6"/>
        <v>829.06131739525051</v>
      </c>
      <c r="V99" s="88">
        <f t="shared" si="7"/>
        <v>0</v>
      </c>
      <c r="W99" s="88">
        <f t="shared" si="8"/>
        <v>1727.1513173952505</v>
      </c>
      <c r="X99" s="88">
        <f t="shared" si="9"/>
        <v>307086.27544763271</v>
      </c>
      <c r="Y99" s="88">
        <f t="shared" si="13"/>
        <v>46716.69</v>
      </c>
    </row>
    <row r="100" spans="8:25">
      <c r="H100" s="87">
        <v>50</v>
      </c>
      <c r="I100" s="86">
        <f>IFERROR(EOMONTH(DATE($C$10,$C$9,1),50-1),"")</f>
        <v>46446</v>
      </c>
      <c r="J100" s="85">
        <f t="shared" si="10"/>
        <v>299788.82507005747</v>
      </c>
      <c r="K100" s="85">
        <f t="shared" si="0"/>
        <v>502.15</v>
      </c>
      <c r="L100" s="85">
        <f t="shared" si="1"/>
        <v>961.82765163148599</v>
      </c>
      <c r="M100" s="85">
        <f t="shared" si="2"/>
        <v>0</v>
      </c>
      <c r="N100" s="85">
        <f t="shared" si="3"/>
        <v>1463.977651631486</v>
      </c>
      <c r="O100" s="85">
        <f t="shared" si="4"/>
        <v>298826.99741842598</v>
      </c>
      <c r="P100" s="85">
        <f t="shared" si="11"/>
        <v>27025.879999999997</v>
      </c>
      <c r="Q100" s="87">
        <v>50</v>
      </c>
      <c r="R100" s="86">
        <f>IFERROR(EOMONTH(DATE($F$10,$F$9,1),50-1),"")</f>
        <v>46446</v>
      </c>
      <c r="S100" s="85">
        <f t="shared" si="12"/>
        <v>307086.27544763271</v>
      </c>
      <c r="T100" s="85">
        <f t="shared" si="5"/>
        <v>895.67</v>
      </c>
      <c r="U100" s="85">
        <f t="shared" si="6"/>
        <v>831.48131739525058</v>
      </c>
      <c r="V100" s="85">
        <f t="shared" si="7"/>
        <v>0</v>
      </c>
      <c r="W100" s="85">
        <f t="shared" si="8"/>
        <v>1727.1513173952505</v>
      </c>
      <c r="X100" s="85">
        <f t="shared" si="9"/>
        <v>306254.79413023748</v>
      </c>
      <c r="Y100" s="85">
        <f t="shared" si="13"/>
        <v>47612.36</v>
      </c>
    </row>
    <row r="101" spans="8:25">
      <c r="H101" s="93">
        <v>51</v>
      </c>
      <c r="I101" s="92">
        <f>IFERROR(EOMONTH(DATE($C$10,$C$9,1),51-1),"")</f>
        <v>46477</v>
      </c>
      <c r="J101" s="91">
        <f t="shared" si="10"/>
        <v>298826.99741842598</v>
      </c>
      <c r="K101" s="91">
        <f t="shared" si="0"/>
        <v>500.54</v>
      </c>
      <c r="L101" s="91">
        <f t="shared" si="1"/>
        <v>963.43765163148601</v>
      </c>
      <c r="M101" s="91">
        <f t="shared" si="2"/>
        <v>0</v>
      </c>
      <c r="N101" s="91">
        <f t="shared" si="3"/>
        <v>1463.977651631486</v>
      </c>
      <c r="O101" s="91">
        <f t="shared" si="4"/>
        <v>297863.5597667945</v>
      </c>
      <c r="P101" s="91">
        <f t="shared" si="11"/>
        <v>27526.42</v>
      </c>
      <c r="Q101" s="90">
        <v>51</v>
      </c>
      <c r="R101" s="89">
        <f>IFERROR(EOMONTH(DATE($F$10,$F$9,1),51-1),"")</f>
        <v>46477</v>
      </c>
      <c r="S101" s="88">
        <f t="shared" si="12"/>
        <v>306254.79413023748</v>
      </c>
      <c r="T101" s="88">
        <f t="shared" si="5"/>
        <v>893.24</v>
      </c>
      <c r="U101" s="88">
        <f t="shared" si="6"/>
        <v>833.91131739525053</v>
      </c>
      <c r="V101" s="88">
        <f t="shared" si="7"/>
        <v>0</v>
      </c>
      <c r="W101" s="88">
        <f t="shared" si="8"/>
        <v>1727.1513173952505</v>
      </c>
      <c r="X101" s="88">
        <f t="shared" si="9"/>
        <v>305420.8828128422</v>
      </c>
      <c r="Y101" s="88">
        <f t="shared" si="13"/>
        <v>48505.599999999999</v>
      </c>
    </row>
    <row r="102" spans="8:25">
      <c r="H102" s="87">
        <v>52</v>
      </c>
      <c r="I102" s="86">
        <f>IFERROR(EOMONTH(DATE($C$10,$C$9,1),52-1),"")</f>
        <v>46507</v>
      </c>
      <c r="J102" s="85">
        <f t="shared" si="10"/>
        <v>297863.5597667945</v>
      </c>
      <c r="K102" s="85">
        <f t="shared" si="0"/>
        <v>498.92</v>
      </c>
      <c r="L102" s="85">
        <f t="shared" si="1"/>
        <v>965.0576516314859</v>
      </c>
      <c r="M102" s="85">
        <f t="shared" si="2"/>
        <v>0</v>
      </c>
      <c r="N102" s="85">
        <f t="shared" si="3"/>
        <v>1463.977651631486</v>
      </c>
      <c r="O102" s="85">
        <f t="shared" si="4"/>
        <v>296898.50211516302</v>
      </c>
      <c r="P102" s="85">
        <f t="shared" si="11"/>
        <v>28025.339999999997</v>
      </c>
      <c r="Q102" s="87">
        <v>52</v>
      </c>
      <c r="R102" s="86">
        <f>IFERROR(EOMONTH(DATE($F$10,$F$9,1),52-1),"")</f>
        <v>46507</v>
      </c>
      <c r="S102" s="85">
        <f t="shared" si="12"/>
        <v>305420.8828128422</v>
      </c>
      <c r="T102" s="85">
        <f t="shared" si="5"/>
        <v>890.81</v>
      </c>
      <c r="U102" s="85">
        <f t="shared" si="6"/>
        <v>836.3413173952506</v>
      </c>
      <c r="V102" s="85">
        <f t="shared" si="7"/>
        <v>0</v>
      </c>
      <c r="W102" s="85">
        <f t="shared" si="8"/>
        <v>1727.1513173952505</v>
      </c>
      <c r="X102" s="85">
        <f t="shared" si="9"/>
        <v>304584.54149544693</v>
      </c>
      <c r="Y102" s="85">
        <f t="shared" si="13"/>
        <v>49396.409999999996</v>
      </c>
    </row>
    <row r="103" spans="8:25">
      <c r="H103" s="93">
        <v>53</v>
      </c>
      <c r="I103" s="92">
        <f>IFERROR(EOMONTH(DATE($C$10,$C$9,1),53-1),"")</f>
        <v>46538</v>
      </c>
      <c r="J103" s="91">
        <f t="shared" si="10"/>
        <v>296898.50211516302</v>
      </c>
      <c r="K103" s="91">
        <f t="shared" si="0"/>
        <v>497.3</v>
      </c>
      <c r="L103" s="91">
        <f t="shared" si="1"/>
        <v>966.67765163148601</v>
      </c>
      <c r="M103" s="91">
        <f t="shared" si="2"/>
        <v>0</v>
      </c>
      <c r="N103" s="91">
        <f t="shared" si="3"/>
        <v>1463.977651631486</v>
      </c>
      <c r="O103" s="91">
        <f t="shared" si="4"/>
        <v>295931.82446353155</v>
      </c>
      <c r="P103" s="91">
        <f t="shared" si="11"/>
        <v>28522.639999999996</v>
      </c>
      <c r="Q103" s="90">
        <v>53</v>
      </c>
      <c r="R103" s="89">
        <f>IFERROR(EOMONTH(DATE($F$10,$F$9,1),53-1),"")</f>
        <v>46538</v>
      </c>
      <c r="S103" s="88">
        <f t="shared" si="12"/>
        <v>304584.54149544693</v>
      </c>
      <c r="T103" s="88">
        <f t="shared" si="5"/>
        <v>888.37</v>
      </c>
      <c r="U103" s="88">
        <f t="shared" si="6"/>
        <v>838.78131739525054</v>
      </c>
      <c r="V103" s="88">
        <f t="shared" si="7"/>
        <v>0</v>
      </c>
      <c r="W103" s="88">
        <f t="shared" si="8"/>
        <v>1727.1513173952505</v>
      </c>
      <c r="X103" s="88">
        <f t="shared" si="9"/>
        <v>303745.76017805166</v>
      </c>
      <c r="Y103" s="88">
        <f t="shared" si="13"/>
        <v>50284.78</v>
      </c>
    </row>
    <row r="104" spans="8:25">
      <c r="H104" s="87">
        <v>54</v>
      </c>
      <c r="I104" s="86">
        <f>IFERROR(EOMONTH(DATE($C$10,$C$9,1),54-1),"")</f>
        <v>46568</v>
      </c>
      <c r="J104" s="85">
        <f t="shared" si="10"/>
        <v>295931.82446353155</v>
      </c>
      <c r="K104" s="85">
        <f t="shared" si="0"/>
        <v>495.69</v>
      </c>
      <c r="L104" s="85">
        <f t="shared" si="1"/>
        <v>968.28765163148591</v>
      </c>
      <c r="M104" s="85">
        <f t="shared" si="2"/>
        <v>0</v>
      </c>
      <c r="N104" s="85">
        <f t="shared" si="3"/>
        <v>1463.977651631486</v>
      </c>
      <c r="O104" s="85">
        <f t="shared" si="4"/>
        <v>294963.53681190009</v>
      </c>
      <c r="P104" s="85">
        <f t="shared" si="11"/>
        <v>29018.329999999994</v>
      </c>
      <c r="Q104" s="87">
        <v>54</v>
      </c>
      <c r="R104" s="86">
        <f>IFERROR(EOMONTH(DATE($F$10,$F$9,1),54-1),"")</f>
        <v>46568</v>
      </c>
      <c r="S104" s="85">
        <f t="shared" si="12"/>
        <v>303745.76017805166</v>
      </c>
      <c r="T104" s="85">
        <f t="shared" si="5"/>
        <v>885.93</v>
      </c>
      <c r="U104" s="85">
        <f t="shared" si="6"/>
        <v>841.22131739525059</v>
      </c>
      <c r="V104" s="85">
        <f t="shared" si="7"/>
        <v>0</v>
      </c>
      <c r="W104" s="85">
        <f t="shared" si="8"/>
        <v>1727.1513173952505</v>
      </c>
      <c r="X104" s="85">
        <f t="shared" si="9"/>
        <v>302904.53886065638</v>
      </c>
      <c r="Y104" s="85">
        <f t="shared" si="13"/>
        <v>51170.71</v>
      </c>
    </row>
    <row r="105" spans="8:25">
      <c r="H105" s="93">
        <v>55</v>
      </c>
      <c r="I105" s="92">
        <f>IFERROR(EOMONTH(DATE($C$10,$C$9,1),55-1),"")</f>
        <v>46599</v>
      </c>
      <c r="J105" s="91">
        <f t="shared" si="10"/>
        <v>294963.53681190009</v>
      </c>
      <c r="K105" s="91">
        <f t="shared" si="0"/>
        <v>494.06</v>
      </c>
      <c r="L105" s="91">
        <f t="shared" si="1"/>
        <v>969.91765163148602</v>
      </c>
      <c r="M105" s="91">
        <f t="shared" si="2"/>
        <v>0</v>
      </c>
      <c r="N105" s="91">
        <f t="shared" si="3"/>
        <v>1463.977651631486</v>
      </c>
      <c r="O105" s="91">
        <f t="shared" si="4"/>
        <v>293993.61916026863</v>
      </c>
      <c r="P105" s="91">
        <f t="shared" si="11"/>
        <v>29512.389999999996</v>
      </c>
      <c r="Q105" s="90">
        <v>55</v>
      </c>
      <c r="R105" s="89">
        <f>IFERROR(EOMONTH(DATE($F$10,$F$9,1),55-1),"")</f>
        <v>46599</v>
      </c>
      <c r="S105" s="88">
        <f t="shared" si="12"/>
        <v>302904.53886065638</v>
      </c>
      <c r="T105" s="88">
        <f t="shared" si="5"/>
        <v>883.47</v>
      </c>
      <c r="U105" s="88">
        <f t="shared" si="6"/>
        <v>843.68131739525052</v>
      </c>
      <c r="V105" s="88">
        <f t="shared" si="7"/>
        <v>0</v>
      </c>
      <c r="W105" s="88">
        <f t="shared" si="8"/>
        <v>1727.1513173952505</v>
      </c>
      <c r="X105" s="88">
        <f t="shared" si="9"/>
        <v>302060.85754326114</v>
      </c>
      <c r="Y105" s="88">
        <f t="shared" si="13"/>
        <v>52054.18</v>
      </c>
    </row>
    <row r="106" spans="8:25">
      <c r="H106" s="87">
        <v>56</v>
      </c>
      <c r="I106" s="86">
        <f>IFERROR(EOMONTH(DATE($C$10,$C$9,1),56-1),"")</f>
        <v>46630</v>
      </c>
      <c r="J106" s="85">
        <f t="shared" si="10"/>
        <v>293993.61916026863</v>
      </c>
      <c r="K106" s="85">
        <f t="shared" si="0"/>
        <v>492.44</v>
      </c>
      <c r="L106" s="85">
        <f t="shared" si="1"/>
        <v>971.53765163148591</v>
      </c>
      <c r="M106" s="85">
        <f t="shared" si="2"/>
        <v>0</v>
      </c>
      <c r="N106" s="85">
        <f t="shared" si="3"/>
        <v>1463.977651631486</v>
      </c>
      <c r="O106" s="85">
        <f t="shared" si="4"/>
        <v>293022.08150863717</v>
      </c>
      <c r="P106" s="85">
        <f t="shared" si="11"/>
        <v>30004.829999999994</v>
      </c>
      <c r="Q106" s="87">
        <v>56</v>
      </c>
      <c r="R106" s="86">
        <f>IFERROR(EOMONTH(DATE($F$10,$F$9,1),56-1),"")</f>
        <v>46630</v>
      </c>
      <c r="S106" s="85">
        <f t="shared" si="12"/>
        <v>302060.85754326114</v>
      </c>
      <c r="T106" s="85">
        <f t="shared" si="5"/>
        <v>881.01</v>
      </c>
      <c r="U106" s="85">
        <f t="shared" si="6"/>
        <v>846.14131739525055</v>
      </c>
      <c r="V106" s="85">
        <f t="shared" si="7"/>
        <v>0</v>
      </c>
      <c r="W106" s="85">
        <f t="shared" si="8"/>
        <v>1727.1513173952505</v>
      </c>
      <c r="X106" s="85">
        <f t="shared" si="9"/>
        <v>301214.71622586588</v>
      </c>
      <c r="Y106" s="85">
        <f t="shared" si="13"/>
        <v>52935.19</v>
      </c>
    </row>
    <row r="107" spans="8:25">
      <c r="H107" s="93">
        <v>57</v>
      </c>
      <c r="I107" s="92">
        <f>IFERROR(EOMONTH(DATE($C$10,$C$9,1),57-1),"")</f>
        <v>46660</v>
      </c>
      <c r="J107" s="91">
        <f t="shared" si="10"/>
        <v>293022.08150863717</v>
      </c>
      <c r="K107" s="91">
        <f t="shared" si="0"/>
        <v>490.81</v>
      </c>
      <c r="L107" s="91">
        <f t="shared" si="1"/>
        <v>973.16765163148602</v>
      </c>
      <c r="M107" s="91">
        <f t="shared" si="2"/>
        <v>0</v>
      </c>
      <c r="N107" s="91">
        <f t="shared" si="3"/>
        <v>1463.977651631486</v>
      </c>
      <c r="O107" s="91">
        <f t="shared" si="4"/>
        <v>292048.91385700571</v>
      </c>
      <c r="P107" s="91">
        <f t="shared" si="11"/>
        <v>30495.639999999996</v>
      </c>
      <c r="Q107" s="90">
        <v>57</v>
      </c>
      <c r="R107" s="89">
        <f>IFERROR(EOMONTH(DATE($F$10,$F$9,1),57-1),"")</f>
        <v>46660</v>
      </c>
      <c r="S107" s="88">
        <f t="shared" si="12"/>
        <v>301214.71622586588</v>
      </c>
      <c r="T107" s="88">
        <f t="shared" si="5"/>
        <v>878.54</v>
      </c>
      <c r="U107" s="88">
        <f t="shared" si="6"/>
        <v>848.61131739525058</v>
      </c>
      <c r="V107" s="88">
        <f t="shared" si="7"/>
        <v>0</v>
      </c>
      <c r="W107" s="88">
        <f t="shared" si="8"/>
        <v>1727.1513173952505</v>
      </c>
      <c r="X107" s="88">
        <f t="shared" si="9"/>
        <v>300366.10490847065</v>
      </c>
      <c r="Y107" s="88">
        <f t="shared" si="13"/>
        <v>53813.73</v>
      </c>
    </row>
    <row r="108" spans="8:25">
      <c r="H108" s="87">
        <v>58</v>
      </c>
      <c r="I108" s="86">
        <f>IFERROR(EOMONTH(DATE($C$10,$C$9,1),58-1),"")</f>
        <v>46691</v>
      </c>
      <c r="J108" s="85">
        <f t="shared" si="10"/>
        <v>292048.91385700571</v>
      </c>
      <c r="K108" s="85">
        <f t="shared" si="0"/>
        <v>489.18</v>
      </c>
      <c r="L108" s="85">
        <f t="shared" si="1"/>
        <v>974.79765163148591</v>
      </c>
      <c r="M108" s="85">
        <f t="shared" si="2"/>
        <v>0</v>
      </c>
      <c r="N108" s="85">
        <f t="shared" si="3"/>
        <v>1463.977651631486</v>
      </c>
      <c r="O108" s="85">
        <f t="shared" si="4"/>
        <v>291074.11620537424</v>
      </c>
      <c r="P108" s="85">
        <f t="shared" si="11"/>
        <v>30984.819999999996</v>
      </c>
      <c r="Q108" s="87">
        <v>58</v>
      </c>
      <c r="R108" s="86">
        <f>IFERROR(EOMONTH(DATE($F$10,$F$9,1),58-1),"")</f>
        <v>46691</v>
      </c>
      <c r="S108" s="85">
        <f t="shared" si="12"/>
        <v>300366.10490847065</v>
      </c>
      <c r="T108" s="85">
        <f t="shared" si="5"/>
        <v>876.07</v>
      </c>
      <c r="U108" s="85">
        <f t="shared" si="6"/>
        <v>851.08131739525049</v>
      </c>
      <c r="V108" s="85">
        <f t="shared" si="7"/>
        <v>0</v>
      </c>
      <c r="W108" s="85">
        <f t="shared" si="8"/>
        <v>1727.1513173952505</v>
      </c>
      <c r="X108" s="85">
        <f t="shared" si="9"/>
        <v>299515.02359107538</v>
      </c>
      <c r="Y108" s="85">
        <f t="shared" si="13"/>
        <v>54689.8</v>
      </c>
    </row>
    <row r="109" spans="8:25">
      <c r="H109" s="93">
        <v>59</v>
      </c>
      <c r="I109" s="92">
        <f>IFERROR(EOMONTH(DATE($C$10,$C$9,1),59-1),"")</f>
        <v>46721</v>
      </c>
      <c r="J109" s="91">
        <f t="shared" si="10"/>
        <v>291074.11620537424</v>
      </c>
      <c r="K109" s="91">
        <f t="shared" si="0"/>
        <v>487.55</v>
      </c>
      <c r="L109" s="91">
        <f t="shared" si="1"/>
        <v>976.42765163148601</v>
      </c>
      <c r="M109" s="91">
        <f t="shared" si="2"/>
        <v>0</v>
      </c>
      <c r="N109" s="91">
        <f t="shared" si="3"/>
        <v>1463.977651631486</v>
      </c>
      <c r="O109" s="91">
        <f t="shared" si="4"/>
        <v>290097.68855374277</v>
      </c>
      <c r="P109" s="91">
        <f t="shared" si="11"/>
        <v>31472.369999999995</v>
      </c>
      <c r="Q109" s="90">
        <v>59</v>
      </c>
      <c r="R109" s="89">
        <f>IFERROR(EOMONTH(DATE($F$10,$F$9,1),59-1),"")</f>
        <v>46721</v>
      </c>
      <c r="S109" s="88">
        <f t="shared" si="12"/>
        <v>299515.02359107538</v>
      </c>
      <c r="T109" s="88">
        <f t="shared" si="5"/>
        <v>873.59</v>
      </c>
      <c r="U109" s="88">
        <f t="shared" si="6"/>
        <v>853.56131739525051</v>
      </c>
      <c r="V109" s="88">
        <f t="shared" si="7"/>
        <v>0</v>
      </c>
      <c r="W109" s="88">
        <f t="shared" si="8"/>
        <v>1727.1513173952505</v>
      </c>
      <c r="X109" s="88">
        <f t="shared" si="9"/>
        <v>298661.46227368014</v>
      </c>
      <c r="Y109" s="88">
        <f t="shared" si="13"/>
        <v>55563.39</v>
      </c>
    </row>
    <row r="110" spans="8:25">
      <c r="H110" s="87">
        <v>60</v>
      </c>
      <c r="I110" s="86">
        <f>IFERROR(EOMONTH(DATE($C$10,$C$9,1),60-1),"")</f>
        <v>46752</v>
      </c>
      <c r="J110" s="85">
        <f t="shared" si="10"/>
        <v>290097.68855374277</v>
      </c>
      <c r="K110" s="85">
        <f t="shared" si="0"/>
        <v>485.91</v>
      </c>
      <c r="L110" s="85">
        <f t="shared" si="1"/>
        <v>978.06765163148589</v>
      </c>
      <c r="M110" s="85">
        <f t="shared" si="2"/>
        <v>0</v>
      </c>
      <c r="N110" s="85">
        <f t="shared" si="3"/>
        <v>1463.977651631486</v>
      </c>
      <c r="O110" s="85">
        <f t="shared" si="4"/>
        <v>289119.62090211129</v>
      </c>
      <c r="P110" s="85">
        <f t="shared" si="11"/>
        <v>31958.279999999995</v>
      </c>
      <c r="Q110" s="87">
        <v>60</v>
      </c>
      <c r="R110" s="86">
        <f>IFERROR(EOMONTH(DATE($F$10,$F$9,1),60-1),"")</f>
        <v>46752</v>
      </c>
      <c r="S110" s="85">
        <f t="shared" si="12"/>
        <v>298661.46227368014</v>
      </c>
      <c r="T110" s="85">
        <f t="shared" si="5"/>
        <v>871.1</v>
      </c>
      <c r="U110" s="85">
        <f t="shared" si="6"/>
        <v>856.05131739525052</v>
      </c>
      <c r="V110" s="85">
        <f t="shared" si="7"/>
        <v>0</v>
      </c>
      <c r="W110" s="85">
        <f t="shared" si="8"/>
        <v>1727.1513173952505</v>
      </c>
      <c r="X110" s="85">
        <f t="shared" si="9"/>
        <v>297805.4109562849</v>
      </c>
      <c r="Y110" s="85">
        <f t="shared" si="13"/>
        <v>56434.49</v>
      </c>
    </row>
    <row r="111" spans="8:25">
      <c r="H111" s="93">
        <v>61</v>
      </c>
      <c r="I111" s="92">
        <f>IFERROR(EOMONTH(DATE($C$10,$C$9,1),61-1),"")</f>
        <v>46783</v>
      </c>
      <c r="J111" s="91">
        <f t="shared" si="10"/>
        <v>289119.62090211129</v>
      </c>
      <c r="K111" s="91">
        <f t="shared" si="0"/>
        <v>484.28</v>
      </c>
      <c r="L111" s="91">
        <f t="shared" si="1"/>
        <v>979.697651631486</v>
      </c>
      <c r="M111" s="91">
        <f t="shared" si="2"/>
        <v>0</v>
      </c>
      <c r="N111" s="91">
        <f t="shared" si="3"/>
        <v>1463.977651631486</v>
      </c>
      <c r="O111" s="91">
        <f t="shared" si="4"/>
        <v>288139.9232504798</v>
      </c>
      <c r="P111" s="91">
        <f t="shared" si="11"/>
        <v>32442.559999999994</v>
      </c>
      <c r="Q111" s="90">
        <v>61</v>
      </c>
      <c r="R111" s="89">
        <f>IFERROR(EOMONTH(DATE($F$10,$F$9,1),61-1),"")</f>
        <v>46783</v>
      </c>
      <c r="S111" s="88">
        <f t="shared" si="12"/>
        <v>297805.4109562849</v>
      </c>
      <c r="T111" s="88">
        <f t="shared" si="5"/>
        <v>868.6</v>
      </c>
      <c r="U111" s="88">
        <f t="shared" si="6"/>
        <v>858.55131739525052</v>
      </c>
      <c r="V111" s="88">
        <f t="shared" si="7"/>
        <v>0</v>
      </c>
      <c r="W111" s="88">
        <f t="shared" si="8"/>
        <v>1727.1513173952505</v>
      </c>
      <c r="X111" s="88">
        <f t="shared" si="9"/>
        <v>296946.85963888967</v>
      </c>
      <c r="Y111" s="88">
        <f t="shared" si="13"/>
        <v>57303.09</v>
      </c>
    </row>
    <row r="112" spans="8:25">
      <c r="H112" s="87">
        <v>62</v>
      </c>
      <c r="I112" s="86">
        <f>IFERROR(EOMONTH(DATE($C$10,$C$9,1),62-1),"")</f>
        <v>46812</v>
      </c>
      <c r="J112" s="85">
        <f t="shared" si="10"/>
        <v>288139.9232504798</v>
      </c>
      <c r="K112" s="85">
        <f t="shared" si="0"/>
        <v>482.63</v>
      </c>
      <c r="L112" s="85">
        <f t="shared" si="1"/>
        <v>981.34765163148597</v>
      </c>
      <c r="M112" s="85">
        <f t="shared" si="2"/>
        <v>0</v>
      </c>
      <c r="N112" s="85">
        <f t="shared" si="3"/>
        <v>1463.977651631486</v>
      </c>
      <c r="O112" s="85">
        <f t="shared" si="4"/>
        <v>287158.57559884829</v>
      </c>
      <c r="P112" s="85">
        <f t="shared" si="11"/>
        <v>32925.189999999995</v>
      </c>
      <c r="Q112" s="87">
        <v>62</v>
      </c>
      <c r="R112" s="86">
        <f>IFERROR(EOMONTH(DATE($F$10,$F$9,1),62-1),"")</f>
        <v>46812</v>
      </c>
      <c r="S112" s="85">
        <f t="shared" si="12"/>
        <v>296946.85963888967</v>
      </c>
      <c r="T112" s="85">
        <f t="shared" si="5"/>
        <v>866.1</v>
      </c>
      <c r="U112" s="85">
        <f t="shared" si="6"/>
        <v>861.05131739525052</v>
      </c>
      <c r="V112" s="85">
        <f t="shared" si="7"/>
        <v>0</v>
      </c>
      <c r="W112" s="85">
        <f t="shared" si="8"/>
        <v>1727.1513173952505</v>
      </c>
      <c r="X112" s="85">
        <f t="shared" si="9"/>
        <v>296085.80832149443</v>
      </c>
      <c r="Y112" s="85">
        <f t="shared" si="13"/>
        <v>58169.189999999995</v>
      </c>
    </row>
    <row r="113" spans="8:25">
      <c r="H113" s="93">
        <v>63</v>
      </c>
      <c r="I113" s="92">
        <f>IFERROR(EOMONTH(DATE($C$10,$C$9,1),63-1),"")</f>
        <v>46843</v>
      </c>
      <c r="J113" s="91">
        <f t="shared" si="10"/>
        <v>287158.57559884829</v>
      </c>
      <c r="K113" s="91">
        <f t="shared" si="0"/>
        <v>480.99</v>
      </c>
      <c r="L113" s="91">
        <f t="shared" si="1"/>
        <v>982.98765163148596</v>
      </c>
      <c r="M113" s="91">
        <f t="shared" si="2"/>
        <v>0</v>
      </c>
      <c r="N113" s="91">
        <f t="shared" si="3"/>
        <v>1463.977651631486</v>
      </c>
      <c r="O113" s="91">
        <f t="shared" si="4"/>
        <v>286175.58794721682</v>
      </c>
      <c r="P113" s="91">
        <f t="shared" si="11"/>
        <v>33406.179999999993</v>
      </c>
      <c r="Q113" s="90">
        <v>63</v>
      </c>
      <c r="R113" s="89">
        <f>IFERROR(EOMONTH(DATE($F$10,$F$9,1),63-1),"")</f>
        <v>46843</v>
      </c>
      <c r="S113" s="88">
        <f t="shared" si="12"/>
        <v>296085.80832149443</v>
      </c>
      <c r="T113" s="88">
        <f t="shared" si="5"/>
        <v>863.58</v>
      </c>
      <c r="U113" s="88">
        <f t="shared" si="6"/>
        <v>863.5713173952505</v>
      </c>
      <c r="V113" s="88">
        <f t="shared" si="7"/>
        <v>0</v>
      </c>
      <c r="W113" s="88">
        <f t="shared" si="8"/>
        <v>1727.1513173952505</v>
      </c>
      <c r="X113" s="88">
        <f t="shared" si="9"/>
        <v>295222.23700409918</v>
      </c>
      <c r="Y113" s="88">
        <f t="shared" si="13"/>
        <v>59032.77</v>
      </c>
    </row>
    <row r="114" spans="8:25">
      <c r="H114" s="87">
        <v>64</v>
      </c>
      <c r="I114" s="86">
        <f>IFERROR(EOMONTH(DATE($C$10,$C$9,1),64-1),"")</f>
        <v>46873</v>
      </c>
      <c r="J114" s="85">
        <f t="shared" si="10"/>
        <v>286175.58794721682</v>
      </c>
      <c r="K114" s="85">
        <f t="shared" si="0"/>
        <v>479.34</v>
      </c>
      <c r="L114" s="85">
        <f t="shared" si="1"/>
        <v>984.63765163148605</v>
      </c>
      <c r="M114" s="85">
        <f t="shared" si="2"/>
        <v>0</v>
      </c>
      <c r="N114" s="85">
        <f t="shared" si="3"/>
        <v>1463.977651631486</v>
      </c>
      <c r="O114" s="85">
        <f t="shared" si="4"/>
        <v>285190.95029558532</v>
      </c>
      <c r="P114" s="85">
        <f t="shared" si="11"/>
        <v>33885.51999999999</v>
      </c>
      <c r="Q114" s="87">
        <v>64</v>
      </c>
      <c r="R114" s="86">
        <f>IFERROR(EOMONTH(DATE($F$10,$F$9,1),64-1),"")</f>
        <v>46873</v>
      </c>
      <c r="S114" s="85">
        <f t="shared" si="12"/>
        <v>295222.23700409918</v>
      </c>
      <c r="T114" s="85">
        <f t="shared" si="5"/>
        <v>861.06</v>
      </c>
      <c r="U114" s="85">
        <f t="shared" si="6"/>
        <v>866.0913173952506</v>
      </c>
      <c r="V114" s="85">
        <f t="shared" si="7"/>
        <v>0</v>
      </c>
      <c r="W114" s="85">
        <f t="shared" si="8"/>
        <v>1727.1513173952505</v>
      </c>
      <c r="X114" s="85">
        <f t="shared" si="9"/>
        <v>294356.14568670391</v>
      </c>
      <c r="Y114" s="85">
        <f t="shared" si="13"/>
        <v>59893.829999999994</v>
      </c>
    </row>
    <row r="115" spans="8:25">
      <c r="H115" s="93">
        <v>65</v>
      </c>
      <c r="I115" s="92">
        <f>IFERROR(EOMONTH(DATE($C$10,$C$9,1),65-1),"")</f>
        <v>46904</v>
      </c>
      <c r="J115" s="91">
        <f t="shared" si="10"/>
        <v>285190.95029558532</v>
      </c>
      <c r="K115" s="91">
        <f t="shared" ref="K115:K178" si="14">IF(J115&lt;=0,0,ROUND(J115*$C$7/12,2))</f>
        <v>477.69</v>
      </c>
      <c r="L115" s="91">
        <f t="shared" ref="L115:L178" si="15">IF(J115&lt;=0,0,IF(UPPER(TRIM($C$11))="INTEREST ONLY",0,MAX(0,MIN(J115,$C$17-K115))))</f>
        <v>986.28765163148591</v>
      </c>
      <c r="M115" s="91">
        <f t="shared" ref="M115:M178" si="16">IF(J115&lt;=0,0,MIN(J115-L115,$C$12+IF(H115=$C$14,$C$13,0)))</f>
        <v>0</v>
      </c>
      <c r="N115" s="91">
        <f t="shared" ref="N115:N178" si="17">K115+L115+M115</f>
        <v>1463.977651631486</v>
      </c>
      <c r="O115" s="91">
        <f t="shared" ref="O115:O178" si="18">MAX(0,J115-L115-M115)</f>
        <v>284204.66264395387</v>
      </c>
      <c r="P115" s="91">
        <f t="shared" si="11"/>
        <v>34363.209999999992</v>
      </c>
      <c r="Q115" s="90">
        <v>65</v>
      </c>
      <c r="R115" s="89">
        <f>IFERROR(EOMONTH(DATE($F$10,$F$9,1),65-1),"")</f>
        <v>46904</v>
      </c>
      <c r="S115" s="88">
        <f t="shared" si="12"/>
        <v>294356.14568670391</v>
      </c>
      <c r="T115" s="88">
        <f t="shared" ref="T115:T178" si="19">IF(S115&lt;=0,0,ROUND(S115*$F$7/12,2))</f>
        <v>858.54</v>
      </c>
      <c r="U115" s="88">
        <f t="shared" ref="U115:U178" si="20">IF(S115&lt;=0,0,IF(UPPER(TRIM($F$11))="INTEREST ONLY",0,MAX(0,MIN(S115,$F$17-T115))))</f>
        <v>868.61131739525058</v>
      </c>
      <c r="V115" s="88">
        <f t="shared" ref="V115:V178" si="21">IF(S115&lt;=0,0,MIN(S115-U115,$F$12+IF(Q115=$F$14,$F$13,0)))</f>
        <v>0</v>
      </c>
      <c r="W115" s="88">
        <f t="shared" ref="W115:W178" si="22">T115+U115+V115</f>
        <v>1727.1513173952505</v>
      </c>
      <c r="X115" s="88">
        <f t="shared" ref="X115:X178" si="23">MAX(0,S115-U115-V115)</f>
        <v>293487.53436930868</v>
      </c>
      <c r="Y115" s="88">
        <f t="shared" si="13"/>
        <v>60752.369999999995</v>
      </c>
    </row>
    <row r="116" spans="8:25">
      <c r="H116" s="87">
        <v>66</v>
      </c>
      <c r="I116" s="86">
        <f>IFERROR(EOMONTH(DATE($C$10,$C$9,1),66-1),"")</f>
        <v>46934</v>
      </c>
      <c r="J116" s="85">
        <f t="shared" ref="J116:J179" si="24">IF(O115&lt;=0,0,O115)</f>
        <v>284204.66264395387</v>
      </c>
      <c r="K116" s="85">
        <f t="shared" si="14"/>
        <v>476.04</v>
      </c>
      <c r="L116" s="85">
        <f t="shared" si="15"/>
        <v>987.93765163148601</v>
      </c>
      <c r="M116" s="85">
        <f t="shared" si="16"/>
        <v>0</v>
      </c>
      <c r="N116" s="85">
        <f t="shared" si="17"/>
        <v>1463.977651631486</v>
      </c>
      <c r="O116" s="85">
        <f t="shared" si="18"/>
        <v>283216.72499232239</v>
      </c>
      <c r="P116" s="85">
        <f t="shared" ref="P116:P179" si="25">P115+K116</f>
        <v>34839.249999999993</v>
      </c>
      <c r="Q116" s="87">
        <v>66</v>
      </c>
      <c r="R116" s="86">
        <f>IFERROR(EOMONTH(DATE($F$10,$F$9,1),66-1),"")</f>
        <v>46934</v>
      </c>
      <c r="S116" s="85">
        <f t="shared" ref="S116:S179" si="26">IF(X115&lt;=0,0,X115)</f>
        <v>293487.53436930868</v>
      </c>
      <c r="T116" s="85">
        <f t="shared" si="19"/>
        <v>856.01</v>
      </c>
      <c r="U116" s="85">
        <f t="shared" si="20"/>
        <v>871.14131739525055</v>
      </c>
      <c r="V116" s="85">
        <f t="shared" si="21"/>
        <v>0</v>
      </c>
      <c r="W116" s="85">
        <f t="shared" si="22"/>
        <v>1727.1513173952505</v>
      </c>
      <c r="X116" s="85">
        <f t="shared" si="23"/>
        <v>292616.39305191342</v>
      </c>
      <c r="Y116" s="85">
        <f t="shared" ref="Y116:Y179" si="27">Y115+T116</f>
        <v>61608.38</v>
      </c>
    </row>
    <row r="117" spans="8:25">
      <c r="H117" s="93">
        <v>67</v>
      </c>
      <c r="I117" s="92">
        <f>IFERROR(EOMONTH(DATE($C$10,$C$9,1),67-1),"")</f>
        <v>46965</v>
      </c>
      <c r="J117" s="91">
        <f t="shared" si="24"/>
        <v>283216.72499232239</v>
      </c>
      <c r="K117" s="91">
        <f t="shared" si="14"/>
        <v>474.39</v>
      </c>
      <c r="L117" s="91">
        <f t="shared" si="15"/>
        <v>989.58765163148598</v>
      </c>
      <c r="M117" s="91">
        <f t="shared" si="16"/>
        <v>0</v>
      </c>
      <c r="N117" s="91">
        <f t="shared" si="17"/>
        <v>1463.977651631486</v>
      </c>
      <c r="O117" s="91">
        <f t="shared" si="18"/>
        <v>282227.13734069088</v>
      </c>
      <c r="P117" s="91">
        <f t="shared" si="25"/>
        <v>35313.639999999992</v>
      </c>
      <c r="Q117" s="90">
        <v>67</v>
      </c>
      <c r="R117" s="89">
        <f>IFERROR(EOMONTH(DATE($F$10,$F$9,1),67-1),"")</f>
        <v>46965</v>
      </c>
      <c r="S117" s="88">
        <f t="shared" si="26"/>
        <v>292616.39305191342</v>
      </c>
      <c r="T117" s="88">
        <f t="shared" si="19"/>
        <v>853.46</v>
      </c>
      <c r="U117" s="88">
        <f t="shared" si="20"/>
        <v>873.69131739525051</v>
      </c>
      <c r="V117" s="88">
        <f t="shared" si="21"/>
        <v>0</v>
      </c>
      <c r="W117" s="88">
        <f t="shared" si="22"/>
        <v>1727.1513173952505</v>
      </c>
      <c r="X117" s="88">
        <f t="shared" si="23"/>
        <v>291742.70173451817</v>
      </c>
      <c r="Y117" s="88">
        <f t="shared" si="27"/>
        <v>62461.84</v>
      </c>
    </row>
    <row r="118" spans="8:25">
      <c r="H118" s="87">
        <v>68</v>
      </c>
      <c r="I118" s="86">
        <f>IFERROR(EOMONTH(DATE($C$10,$C$9,1),68-1),"")</f>
        <v>46996</v>
      </c>
      <c r="J118" s="85">
        <f t="shared" si="24"/>
        <v>282227.13734069088</v>
      </c>
      <c r="K118" s="85">
        <f t="shared" si="14"/>
        <v>472.73</v>
      </c>
      <c r="L118" s="85">
        <f t="shared" si="15"/>
        <v>991.24765163148595</v>
      </c>
      <c r="M118" s="85">
        <f t="shared" si="16"/>
        <v>0</v>
      </c>
      <c r="N118" s="85">
        <f t="shared" si="17"/>
        <v>1463.977651631486</v>
      </c>
      <c r="O118" s="85">
        <f t="shared" si="18"/>
        <v>281235.8896890594</v>
      </c>
      <c r="P118" s="85">
        <f t="shared" si="25"/>
        <v>35786.369999999995</v>
      </c>
      <c r="Q118" s="87">
        <v>68</v>
      </c>
      <c r="R118" s="86">
        <f>IFERROR(EOMONTH(DATE($F$10,$F$9,1),68-1),"")</f>
        <v>46996</v>
      </c>
      <c r="S118" s="85">
        <f t="shared" si="26"/>
        <v>291742.70173451817</v>
      </c>
      <c r="T118" s="85">
        <f t="shared" si="19"/>
        <v>850.92</v>
      </c>
      <c r="U118" s="85">
        <f t="shared" si="20"/>
        <v>876.23131739525058</v>
      </c>
      <c r="V118" s="85">
        <f t="shared" si="21"/>
        <v>0</v>
      </c>
      <c r="W118" s="85">
        <f t="shared" si="22"/>
        <v>1727.1513173952505</v>
      </c>
      <c r="X118" s="85">
        <f t="shared" si="23"/>
        <v>290866.47041712294</v>
      </c>
      <c r="Y118" s="85">
        <f t="shared" si="27"/>
        <v>63312.759999999995</v>
      </c>
    </row>
    <row r="119" spans="8:25">
      <c r="H119" s="93">
        <v>69</v>
      </c>
      <c r="I119" s="92">
        <f>IFERROR(EOMONTH(DATE($C$10,$C$9,1),69-1),"")</f>
        <v>47026</v>
      </c>
      <c r="J119" s="91">
        <f t="shared" si="24"/>
        <v>281235.8896890594</v>
      </c>
      <c r="K119" s="91">
        <f t="shared" si="14"/>
        <v>471.07</v>
      </c>
      <c r="L119" s="91">
        <f t="shared" si="15"/>
        <v>992.90765163148603</v>
      </c>
      <c r="M119" s="91">
        <f t="shared" si="16"/>
        <v>0</v>
      </c>
      <c r="N119" s="91">
        <f t="shared" si="17"/>
        <v>1463.977651631486</v>
      </c>
      <c r="O119" s="91">
        <f t="shared" si="18"/>
        <v>280242.98203742789</v>
      </c>
      <c r="P119" s="91">
        <f t="shared" si="25"/>
        <v>36257.439999999995</v>
      </c>
      <c r="Q119" s="90">
        <v>69</v>
      </c>
      <c r="R119" s="89">
        <f>IFERROR(EOMONTH(DATE($F$10,$F$9,1),69-1),"")</f>
        <v>47026</v>
      </c>
      <c r="S119" s="88">
        <f t="shared" si="26"/>
        <v>290866.47041712294</v>
      </c>
      <c r="T119" s="88">
        <f t="shared" si="19"/>
        <v>848.36</v>
      </c>
      <c r="U119" s="88">
        <f t="shared" si="20"/>
        <v>878.79131739525053</v>
      </c>
      <c r="V119" s="88">
        <f t="shared" si="21"/>
        <v>0</v>
      </c>
      <c r="W119" s="88">
        <f t="shared" si="22"/>
        <v>1727.1513173952505</v>
      </c>
      <c r="X119" s="88">
        <f t="shared" si="23"/>
        <v>289987.67909972771</v>
      </c>
      <c r="Y119" s="88">
        <f t="shared" si="27"/>
        <v>64161.119999999995</v>
      </c>
    </row>
    <row r="120" spans="8:25">
      <c r="H120" s="87">
        <v>70</v>
      </c>
      <c r="I120" s="86">
        <f>IFERROR(EOMONTH(DATE($C$10,$C$9,1),70-1),"")</f>
        <v>47057</v>
      </c>
      <c r="J120" s="85">
        <f t="shared" si="24"/>
        <v>280242.98203742789</v>
      </c>
      <c r="K120" s="85">
        <f t="shared" si="14"/>
        <v>469.41</v>
      </c>
      <c r="L120" s="85">
        <f t="shared" si="15"/>
        <v>994.56765163148589</v>
      </c>
      <c r="M120" s="85">
        <f t="shared" si="16"/>
        <v>0</v>
      </c>
      <c r="N120" s="85">
        <f t="shared" si="17"/>
        <v>1463.977651631486</v>
      </c>
      <c r="O120" s="85">
        <f t="shared" si="18"/>
        <v>279248.41438579641</v>
      </c>
      <c r="P120" s="85">
        <f t="shared" si="25"/>
        <v>36726.85</v>
      </c>
      <c r="Q120" s="87">
        <v>70</v>
      </c>
      <c r="R120" s="86">
        <f>IFERROR(EOMONTH(DATE($F$10,$F$9,1),70-1),"")</f>
        <v>47057</v>
      </c>
      <c r="S120" s="85">
        <f t="shared" si="26"/>
        <v>289987.67909972771</v>
      </c>
      <c r="T120" s="85">
        <f t="shared" si="19"/>
        <v>845.8</v>
      </c>
      <c r="U120" s="85">
        <f t="shared" si="20"/>
        <v>881.35131739525059</v>
      </c>
      <c r="V120" s="85">
        <f t="shared" si="21"/>
        <v>0</v>
      </c>
      <c r="W120" s="85">
        <f t="shared" si="22"/>
        <v>1727.1513173952505</v>
      </c>
      <c r="X120" s="85">
        <f t="shared" si="23"/>
        <v>289106.32778233249</v>
      </c>
      <c r="Y120" s="85">
        <f t="shared" si="27"/>
        <v>65006.92</v>
      </c>
    </row>
    <row r="121" spans="8:25">
      <c r="H121" s="93">
        <v>71</v>
      </c>
      <c r="I121" s="92">
        <f>IFERROR(EOMONTH(DATE($C$10,$C$9,1),71-1),"")</f>
        <v>47087</v>
      </c>
      <c r="J121" s="91">
        <f t="shared" si="24"/>
        <v>279248.41438579641</v>
      </c>
      <c r="K121" s="91">
        <f t="shared" si="14"/>
        <v>467.74</v>
      </c>
      <c r="L121" s="91">
        <f t="shared" si="15"/>
        <v>996.23765163148596</v>
      </c>
      <c r="M121" s="91">
        <f t="shared" si="16"/>
        <v>0</v>
      </c>
      <c r="N121" s="91">
        <f t="shared" si="17"/>
        <v>1463.977651631486</v>
      </c>
      <c r="O121" s="91">
        <f t="shared" si="18"/>
        <v>278252.17673416494</v>
      </c>
      <c r="P121" s="91">
        <f t="shared" si="25"/>
        <v>37194.589999999997</v>
      </c>
      <c r="Q121" s="90">
        <v>71</v>
      </c>
      <c r="R121" s="89">
        <f>IFERROR(EOMONTH(DATE($F$10,$F$9,1),71-1),"")</f>
        <v>47087</v>
      </c>
      <c r="S121" s="88">
        <f t="shared" si="26"/>
        <v>289106.32778233249</v>
      </c>
      <c r="T121" s="88">
        <f t="shared" si="19"/>
        <v>843.23</v>
      </c>
      <c r="U121" s="88">
        <f t="shared" si="20"/>
        <v>883.92131739525053</v>
      </c>
      <c r="V121" s="88">
        <f t="shared" si="21"/>
        <v>0</v>
      </c>
      <c r="W121" s="88">
        <f t="shared" si="22"/>
        <v>1727.1513173952505</v>
      </c>
      <c r="X121" s="88">
        <f t="shared" si="23"/>
        <v>288222.40646493726</v>
      </c>
      <c r="Y121" s="88">
        <f t="shared" si="27"/>
        <v>65850.149999999994</v>
      </c>
    </row>
    <row r="122" spans="8:25">
      <c r="H122" s="87">
        <v>72</v>
      </c>
      <c r="I122" s="86">
        <f>IFERROR(EOMONTH(DATE($C$10,$C$9,1),72-1),"")</f>
        <v>47118</v>
      </c>
      <c r="J122" s="85">
        <f t="shared" si="24"/>
        <v>278252.17673416494</v>
      </c>
      <c r="K122" s="85">
        <f t="shared" si="14"/>
        <v>466.07</v>
      </c>
      <c r="L122" s="85">
        <f t="shared" si="15"/>
        <v>997.90765163148603</v>
      </c>
      <c r="M122" s="85">
        <f t="shared" si="16"/>
        <v>0</v>
      </c>
      <c r="N122" s="85">
        <f t="shared" si="17"/>
        <v>1463.977651631486</v>
      </c>
      <c r="O122" s="85">
        <f t="shared" si="18"/>
        <v>277254.26908253343</v>
      </c>
      <c r="P122" s="85">
        <f t="shared" si="25"/>
        <v>37660.659999999996</v>
      </c>
      <c r="Q122" s="87">
        <v>72</v>
      </c>
      <c r="R122" s="86">
        <f>IFERROR(EOMONTH(DATE($F$10,$F$9,1),72-1),"")</f>
        <v>47118</v>
      </c>
      <c r="S122" s="85">
        <f t="shared" si="26"/>
        <v>288222.40646493726</v>
      </c>
      <c r="T122" s="85">
        <f t="shared" si="19"/>
        <v>840.65</v>
      </c>
      <c r="U122" s="85">
        <f t="shared" si="20"/>
        <v>886.50131739525057</v>
      </c>
      <c r="V122" s="85">
        <f t="shared" si="21"/>
        <v>0</v>
      </c>
      <c r="W122" s="85">
        <f t="shared" si="22"/>
        <v>1727.1513173952505</v>
      </c>
      <c r="X122" s="85">
        <f t="shared" si="23"/>
        <v>287335.90514754201</v>
      </c>
      <c r="Y122" s="85">
        <f t="shared" si="27"/>
        <v>66690.799999999988</v>
      </c>
    </row>
    <row r="123" spans="8:25">
      <c r="H123" s="93">
        <v>73</v>
      </c>
      <c r="I123" s="92">
        <f>IFERROR(EOMONTH(DATE($C$10,$C$9,1),73-1),"")</f>
        <v>47149</v>
      </c>
      <c r="J123" s="91">
        <f t="shared" si="24"/>
        <v>277254.26908253343</v>
      </c>
      <c r="K123" s="91">
        <f t="shared" si="14"/>
        <v>464.4</v>
      </c>
      <c r="L123" s="91">
        <f t="shared" si="15"/>
        <v>999.57765163148599</v>
      </c>
      <c r="M123" s="91">
        <f t="shared" si="16"/>
        <v>0</v>
      </c>
      <c r="N123" s="91">
        <f t="shared" si="17"/>
        <v>1463.977651631486</v>
      </c>
      <c r="O123" s="91">
        <f t="shared" si="18"/>
        <v>276254.69143090193</v>
      </c>
      <c r="P123" s="91">
        <f t="shared" si="25"/>
        <v>38125.06</v>
      </c>
      <c r="Q123" s="90">
        <v>73</v>
      </c>
      <c r="R123" s="89">
        <f>IFERROR(EOMONTH(DATE($F$10,$F$9,1),73-1),"")</f>
        <v>47149</v>
      </c>
      <c r="S123" s="88">
        <f t="shared" si="26"/>
        <v>287335.90514754201</v>
      </c>
      <c r="T123" s="88">
        <f t="shared" si="19"/>
        <v>838.06</v>
      </c>
      <c r="U123" s="88">
        <f t="shared" si="20"/>
        <v>889.0913173952506</v>
      </c>
      <c r="V123" s="88">
        <f t="shared" si="21"/>
        <v>0</v>
      </c>
      <c r="W123" s="88">
        <f t="shared" si="22"/>
        <v>1727.1513173952505</v>
      </c>
      <c r="X123" s="88">
        <f t="shared" si="23"/>
        <v>286446.81383014674</v>
      </c>
      <c r="Y123" s="88">
        <f t="shared" si="27"/>
        <v>67528.859999999986</v>
      </c>
    </row>
    <row r="124" spans="8:25">
      <c r="H124" s="87">
        <v>74</v>
      </c>
      <c r="I124" s="86">
        <f>IFERROR(EOMONTH(DATE($C$10,$C$9,1),74-1),"")</f>
        <v>47177</v>
      </c>
      <c r="J124" s="85">
        <f t="shared" si="24"/>
        <v>276254.69143090193</v>
      </c>
      <c r="K124" s="85">
        <f t="shared" si="14"/>
        <v>462.73</v>
      </c>
      <c r="L124" s="85">
        <f t="shared" si="15"/>
        <v>1001.247651631486</v>
      </c>
      <c r="M124" s="85">
        <f t="shared" si="16"/>
        <v>0</v>
      </c>
      <c r="N124" s="85">
        <f t="shared" si="17"/>
        <v>1463.977651631486</v>
      </c>
      <c r="O124" s="85">
        <f t="shared" si="18"/>
        <v>275253.44377927046</v>
      </c>
      <c r="P124" s="85">
        <f t="shared" si="25"/>
        <v>38587.79</v>
      </c>
      <c r="Q124" s="87">
        <v>74</v>
      </c>
      <c r="R124" s="86">
        <f>IFERROR(EOMONTH(DATE($F$10,$F$9,1),74-1),"")</f>
        <v>47177</v>
      </c>
      <c r="S124" s="85">
        <f t="shared" si="26"/>
        <v>286446.81383014674</v>
      </c>
      <c r="T124" s="85">
        <f t="shared" si="19"/>
        <v>835.47</v>
      </c>
      <c r="U124" s="85">
        <f t="shared" si="20"/>
        <v>891.68131739525052</v>
      </c>
      <c r="V124" s="85">
        <f t="shared" si="21"/>
        <v>0</v>
      </c>
      <c r="W124" s="85">
        <f t="shared" si="22"/>
        <v>1727.1513173952505</v>
      </c>
      <c r="X124" s="85">
        <f t="shared" si="23"/>
        <v>285555.1325127515</v>
      </c>
      <c r="Y124" s="85">
        <f t="shared" si="27"/>
        <v>68364.329999999987</v>
      </c>
    </row>
    <row r="125" spans="8:25">
      <c r="H125" s="93">
        <v>75</v>
      </c>
      <c r="I125" s="92">
        <f>IFERROR(EOMONTH(DATE($C$10,$C$9,1),75-1),"")</f>
        <v>47208</v>
      </c>
      <c r="J125" s="91">
        <f t="shared" si="24"/>
        <v>275253.44377927046</v>
      </c>
      <c r="K125" s="91">
        <f t="shared" si="14"/>
        <v>461.05</v>
      </c>
      <c r="L125" s="91">
        <f t="shared" si="15"/>
        <v>1002.927651631486</v>
      </c>
      <c r="M125" s="91">
        <f t="shared" si="16"/>
        <v>0</v>
      </c>
      <c r="N125" s="91">
        <f t="shared" si="17"/>
        <v>1463.977651631486</v>
      </c>
      <c r="O125" s="91">
        <f t="shared" si="18"/>
        <v>274250.51612763898</v>
      </c>
      <c r="P125" s="91">
        <f t="shared" si="25"/>
        <v>39048.840000000004</v>
      </c>
      <c r="Q125" s="90">
        <v>75</v>
      </c>
      <c r="R125" s="89">
        <f>IFERROR(EOMONTH(DATE($F$10,$F$9,1),75-1),"")</f>
        <v>47208</v>
      </c>
      <c r="S125" s="88">
        <f t="shared" si="26"/>
        <v>285555.1325127515</v>
      </c>
      <c r="T125" s="88">
        <f t="shared" si="19"/>
        <v>832.87</v>
      </c>
      <c r="U125" s="88">
        <f t="shared" si="20"/>
        <v>894.28131739525054</v>
      </c>
      <c r="V125" s="88">
        <f t="shared" si="21"/>
        <v>0</v>
      </c>
      <c r="W125" s="88">
        <f t="shared" si="22"/>
        <v>1727.1513173952505</v>
      </c>
      <c r="X125" s="88">
        <f t="shared" si="23"/>
        <v>284660.85119535623</v>
      </c>
      <c r="Y125" s="88">
        <f t="shared" si="27"/>
        <v>69197.199999999983</v>
      </c>
    </row>
    <row r="126" spans="8:25">
      <c r="H126" s="87">
        <v>76</v>
      </c>
      <c r="I126" s="86">
        <f>IFERROR(EOMONTH(DATE($C$10,$C$9,1),76-1),"")</f>
        <v>47238</v>
      </c>
      <c r="J126" s="85">
        <f t="shared" si="24"/>
        <v>274250.51612763898</v>
      </c>
      <c r="K126" s="85">
        <f t="shared" si="14"/>
        <v>459.37</v>
      </c>
      <c r="L126" s="85">
        <f t="shared" si="15"/>
        <v>1004.607651631486</v>
      </c>
      <c r="M126" s="85">
        <f t="shared" si="16"/>
        <v>0</v>
      </c>
      <c r="N126" s="85">
        <f t="shared" si="17"/>
        <v>1463.977651631486</v>
      </c>
      <c r="O126" s="85">
        <f t="shared" si="18"/>
        <v>273245.90847600752</v>
      </c>
      <c r="P126" s="85">
        <f t="shared" si="25"/>
        <v>39508.210000000006</v>
      </c>
      <c r="Q126" s="87">
        <v>76</v>
      </c>
      <c r="R126" s="86">
        <f>IFERROR(EOMONTH(DATE($F$10,$F$9,1),76-1),"")</f>
        <v>47238</v>
      </c>
      <c r="S126" s="85">
        <f t="shared" si="26"/>
        <v>284660.85119535623</v>
      </c>
      <c r="T126" s="85">
        <f t="shared" si="19"/>
        <v>830.26</v>
      </c>
      <c r="U126" s="85">
        <f t="shared" si="20"/>
        <v>896.89131739525055</v>
      </c>
      <c r="V126" s="85">
        <f t="shared" si="21"/>
        <v>0</v>
      </c>
      <c r="W126" s="85">
        <f t="shared" si="22"/>
        <v>1727.1513173952505</v>
      </c>
      <c r="X126" s="85">
        <f t="shared" si="23"/>
        <v>283763.95987796097</v>
      </c>
      <c r="Y126" s="85">
        <f t="shared" si="27"/>
        <v>70027.459999999977</v>
      </c>
    </row>
    <row r="127" spans="8:25">
      <c r="H127" s="93">
        <v>77</v>
      </c>
      <c r="I127" s="92">
        <f>IFERROR(EOMONTH(DATE($C$10,$C$9,1),77-1),"")</f>
        <v>47269</v>
      </c>
      <c r="J127" s="91">
        <f t="shared" si="24"/>
        <v>273245.90847600752</v>
      </c>
      <c r="K127" s="91">
        <f t="shared" si="14"/>
        <v>457.69</v>
      </c>
      <c r="L127" s="91">
        <f t="shared" si="15"/>
        <v>1006.2876516314859</v>
      </c>
      <c r="M127" s="91">
        <f t="shared" si="16"/>
        <v>0</v>
      </c>
      <c r="N127" s="91">
        <f t="shared" si="17"/>
        <v>1463.977651631486</v>
      </c>
      <c r="O127" s="91">
        <f t="shared" si="18"/>
        <v>272239.62082437606</v>
      </c>
      <c r="P127" s="91">
        <f t="shared" si="25"/>
        <v>39965.900000000009</v>
      </c>
      <c r="Q127" s="90">
        <v>77</v>
      </c>
      <c r="R127" s="89">
        <f>IFERROR(EOMONTH(DATE($F$10,$F$9,1),77-1),"")</f>
        <v>47269</v>
      </c>
      <c r="S127" s="88">
        <f t="shared" si="26"/>
        <v>283763.95987796097</v>
      </c>
      <c r="T127" s="88">
        <f t="shared" si="19"/>
        <v>827.64</v>
      </c>
      <c r="U127" s="88">
        <f t="shared" si="20"/>
        <v>899.51131739525056</v>
      </c>
      <c r="V127" s="88">
        <f t="shared" si="21"/>
        <v>0</v>
      </c>
      <c r="W127" s="88">
        <f t="shared" si="22"/>
        <v>1727.1513173952505</v>
      </c>
      <c r="X127" s="88">
        <f t="shared" si="23"/>
        <v>282864.44856056571</v>
      </c>
      <c r="Y127" s="88">
        <f t="shared" si="27"/>
        <v>70855.099999999977</v>
      </c>
    </row>
    <row r="128" spans="8:25">
      <c r="H128" s="87">
        <v>78</v>
      </c>
      <c r="I128" s="86">
        <f>IFERROR(EOMONTH(DATE($C$10,$C$9,1),78-1),"")</f>
        <v>47299</v>
      </c>
      <c r="J128" s="85">
        <f t="shared" si="24"/>
        <v>272239.62082437606</v>
      </c>
      <c r="K128" s="85">
        <f t="shared" si="14"/>
        <v>456</v>
      </c>
      <c r="L128" s="85">
        <f t="shared" si="15"/>
        <v>1007.977651631486</v>
      </c>
      <c r="M128" s="85">
        <f t="shared" si="16"/>
        <v>0</v>
      </c>
      <c r="N128" s="85">
        <f t="shared" si="17"/>
        <v>1463.977651631486</v>
      </c>
      <c r="O128" s="85">
        <f t="shared" si="18"/>
        <v>271231.6431727446</v>
      </c>
      <c r="P128" s="85">
        <f t="shared" si="25"/>
        <v>40421.900000000009</v>
      </c>
      <c r="Q128" s="87">
        <v>78</v>
      </c>
      <c r="R128" s="86">
        <f>IFERROR(EOMONTH(DATE($F$10,$F$9,1),78-1),"")</f>
        <v>47299</v>
      </c>
      <c r="S128" s="85">
        <f t="shared" si="26"/>
        <v>282864.44856056571</v>
      </c>
      <c r="T128" s="85">
        <f t="shared" si="19"/>
        <v>825.02</v>
      </c>
      <c r="U128" s="85">
        <f t="shared" si="20"/>
        <v>902.13131739525056</v>
      </c>
      <c r="V128" s="85">
        <f t="shared" si="21"/>
        <v>0</v>
      </c>
      <c r="W128" s="85">
        <f t="shared" si="22"/>
        <v>1727.1513173952505</v>
      </c>
      <c r="X128" s="85">
        <f t="shared" si="23"/>
        <v>281962.31724317046</v>
      </c>
      <c r="Y128" s="85">
        <f t="shared" si="27"/>
        <v>71680.119999999981</v>
      </c>
    </row>
    <row r="129" spans="8:25">
      <c r="H129" s="93">
        <v>79</v>
      </c>
      <c r="I129" s="92">
        <f>IFERROR(EOMONTH(DATE($C$10,$C$9,1),79-1),"")</f>
        <v>47330</v>
      </c>
      <c r="J129" s="91">
        <f t="shared" si="24"/>
        <v>271231.6431727446</v>
      </c>
      <c r="K129" s="91">
        <f t="shared" si="14"/>
        <v>454.31</v>
      </c>
      <c r="L129" s="91">
        <f t="shared" si="15"/>
        <v>1009.667651631486</v>
      </c>
      <c r="M129" s="91">
        <f t="shared" si="16"/>
        <v>0</v>
      </c>
      <c r="N129" s="91">
        <f t="shared" si="17"/>
        <v>1463.977651631486</v>
      </c>
      <c r="O129" s="91">
        <f t="shared" si="18"/>
        <v>270221.97552111314</v>
      </c>
      <c r="P129" s="91">
        <f t="shared" si="25"/>
        <v>40876.210000000006</v>
      </c>
      <c r="Q129" s="90">
        <v>79</v>
      </c>
      <c r="R129" s="89">
        <f>IFERROR(EOMONTH(DATE($F$10,$F$9,1),79-1),"")</f>
        <v>47330</v>
      </c>
      <c r="S129" s="88">
        <f t="shared" si="26"/>
        <v>281962.31724317046</v>
      </c>
      <c r="T129" s="88">
        <f t="shared" si="19"/>
        <v>822.39</v>
      </c>
      <c r="U129" s="88">
        <f t="shared" si="20"/>
        <v>904.76131739525056</v>
      </c>
      <c r="V129" s="88">
        <f t="shared" si="21"/>
        <v>0</v>
      </c>
      <c r="W129" s="88">
        <f t="shared" si="22"/>
        <v>1727.1513173952505</v>
      </c>
      <c r="X129" s="88">
        <f t="shared" si="23"/>
        <v>281057.5559257752</v>
      </c>
      <c r="Y129" s="88">
        <f t="shared" si="27"/>
        <v>72502.50999999998</v>
      </c>
    </row>
    <row r="130" spans="8:25">
      <c r="H130" s="87">
        <v>80</v>
      </c>
      <c r="I130" s="86">
        <f>IFERROR(EOMONTH(DATE($C$10,$C$9,1),80-1),"")</f>
        <v>47361</v>
      </c>
      <c r="J130" s="85">
        <f t="shared" si="24"/>
        <v>270221.97552111314</v>
      </c>
      <c r="K130" s="85">
        <f t="shared" si="14"/>
        <v>452.62</v>
      </c>
      <c r="L130" s="85">
        <f t="shared" si="15"/>
        <v>1011.357651631486</v>
      </c>
      <c r="M130" s="85">
        <f t="shared" si="16"/>
        <v>0</v>
      </c>
      <c r="N130" s="85">
        <f t="shared" si="17"/>
        <v>1463.977651631486</v>
      </c>
      <c r="O130" s="85">
        <f t="shared" si="18"/>
        <v>269210.61786948168</v>
      </c>
      <c r="P130" s="85">
        <f t="shared" si="25"/>
        <v>41328.830000000009</v>
      </c>
      <c r="Q130" s="87">
        <v>80</v>
      </c>
      <c r="R130" s="86">
        <f>IFERROR(EOMONTH(DATE($F$10,$F$9,1),80-1),"")</f>
        <v>47361</v>
      </c>
      <c r="S130" s="85">
        <f t="shared" si="26"/>
        <v>281057.5559257752</v>
      </c>
      <c r="T130" s="85">
        <f t="shared" si="19"/>
        <v>819.75</v>
      </c>
      <c r="U130" s="85">
        <f t="shared" si="20"/>
        <v>907.40131739525054</v>
      </c>
      <c r="V130" s="85">
        <f t="shared" si="21"/>
        <v>0</v>
      </c>
      <c r="W130" s="85">
        <f t="shared" si="22"/>
        <v>1727.1513173952505</v>
      </c>
      <c r="X130" s="85">
        <f t="shared" si="23"/>
        <v>280150.15460837993</v>
      </c>
      <c r="Y130" s="85">
        <f t="shared" si="27"/>
        <v>73322.25999999998</v>
      </c>
    </row>
    <row r="131" spans="8:25">
      <c r="H131" s="93">
        <v>81</v>
      </c>
      <c r="I131" s="92">
        <f>IFERROR(EOMONTH(DATE($C$10,$C$9,1),81-1),"")</f>
        <v>47391</v>
      </c>
      <c r="J131" s="91">
        <f t="shared" si="24"/>
        <v>269210.61786948168</v>
      </c>
      <c r="K131" s="91">
        <f t="shared" si="14"/>
        <v>450.93</v>
      </c>
      <c r="L131" s="91">
        <f t="shared" si="15"/>
        <v>1013.0476516314859</v>
      </c>
      <c r="M131" s="91">
        <f t="shared" si="16"/>
        <v>0</v>
      </c>
      <c r="N131" s="91">
        <f t="shared" si="17"/>
        <v>1463.977651631486</v>
      </c>
      <c r="O131" s="91">
        <f t="shared" si="18"/>
        <v>268197.57021785021</v>
      </c>
      <c r="P131" s="91">
        <f t="shared" si="25"/>
        <v>41779.760000000009</v>
      </c>
      <c r="Q131" s="90">
        <v>81</v>
      </c>
      <c r="R131" s="89">
        <f>IFERROR(EOMONTH(DATE($F$10,$F$9,1),81-1),"")</f>
        <v>47391</v>
      </c>
      <c r="S131" s="88">
        <f t="shared" si="26"/>
        <v>280150.15460837993</v>
      </c>
      <c r="T131" s="88">
        <f t="shared" si="19"/>
        <v>817.1</v>
      </c>
      <c r="U131" s="88">
        <f t="shared" si="20"/>
        <v>910.05131739525052</v>
      </c>
      <c r="V131" s="88">
        <f t="shared" si="21"/>
        <v>0</v>
      </c>
      <c r="W131" s="88">
        <f t="shared" si="22"/>
        <v>1727.1513173952505</v>
      </c>
      <c r="X131" s="88">
        <f t="shared" si="23"/>
        <v>279240.1032909847</v>
      </c>
      <c r="Y131" s="88">
        <f t="shared" si="27"/>
        <v>74139.359999999986</v>
      </c>
    </row>
    <row r="132" spans="8:25">
      <c r="H132" s="87">
        <v>82</v>
      </c>
      <c r="I132" s="86">
        <f>IFERROR(EOMONTH(DATE($C$10,$C$9,1),82-1),"")</f>
        <v>47422</v>
      </c>
      <c r="J132" s="85">
        <f t="shared" si="24"/>
        <v>268197.57021785021</v>
      </c>
      <c r="K132" s="85">
        <f t="shared" si="14"/>
        <v>449.23</v>
      </c>
      <c r="L132" s="85">
        <f t="shared" si="15"/>
        <v>1014.747651631486</v>
      </c>
      <c r="M132" s="85">
        <f t="shared" si="16"/>
        <v>0</v>
      </c>
      <c r="N132" s="85">
        <f t="shared" si="17"/>
        <v>1463.977651631486</v>
      </c>
      <c r="O132" s="85">
        <f t="shared" si="18"/>
        <v>267182.82256621873</v>
      </c>
      <c r="P132" s="85">
        <f t="shared" si="25"/>
        <v>42228.990000000013</v>
      </c>
      <c r="Q132" s="87">
        <v>82</v>
      </c>
      <c r="R132" s="86">
        <f>IFERROR(EOMONTH(DATE($F$10,$F$9,1),82-1),"")</f>
        <v>47422</v>
      </c>
      <c r="S132" s="85">
        <f t="shared" si="26"/>
        <v>279240.1032909847</v>
      </c>
      <c r="T132" s="85">
        <f t="shared" si="19"/>
        <v>814.45</v>
      </c>
      <c r="U132" s="85">
        <f t="shared" si="20"/>
        <v>912.7013173952505</v>
      </c>
      <c r="V132" s="85">
        <f t="shared" si="21"/>
        <v>0</v>
      </c>
      <c r="W132" s="85">
        <f t="shared" si="22"/>
        <v>1727.1513173952505</v>
      </c>
      <c r="X132" s="85">
        <f t="shared" si="23"/>
        <v>278327.40197358944</v>
      </c>
      <c r="Y132" s="85">
        <f t="shared" si="27"/>
        <v>74953.809999999983</v>
      </c>
    </row>
    <row r="133" spans="8:25">
      <c r="H133" s="93">
        <v>83</v>
      </c>
      <c r="I133" s="92">
        <f>IFERROR(EOMONTH(DATE($C$10,$C$9,1),83-1),"")</f>
        <v>47452</v>
      </c>
      <c r="J133" s="91">
        <f t="shared" si="24"/>
        <v>267182.82256621873</v>
      </c>
      <c r="K133" s="91">
        <f t="shared" si="14"/>
        <v>447.53</v>
      </c>
      <c r="L133" s="91">
        <f t="shared" si="15"/>
        <v>1016.447651631486</v>
      </c>
      <c r="M133" s="91">
        <f t="shared" si="16"/>
        <v>0</v>
      </c>
      <c r="N133" s="91">
        <f t="shared" si="17"/>
        <v>1463.977651631486</v>
      </c>
      <c r="O133" s="91">
        <f t="shared" si="18"/>
        <v>266166.37491458724</v>
      </c>
      <c r="P133" s="91">
        <f t="shared" si="25"/>
        <v>42676.520000000011</v>
      </c>
      <c r="Q133" s="90">
        <v>83</v>
      </c>
      <c r="R133" s="89">
        <f>IFERROR(EOMONTH(DATE($F$10,$F$9,1),83-1),"")</f>
        <v>47452</v>
      </c>
      <c r="S133" s="88">
        <f t="shared" si="26"/>
        <v>278327.40197358944</v>
      </c>
      <c r="T133" s="88">
        <f t="shared" si="19"/>
        <v>811.79</v>
      </c>
      <c r="U133" s="88">
        <f t="shared" si="20"/>
        <v>915.36131739525058</v>
      </c>
      <c r="V133" s="88">
        <f t="shared" si="21"/>
        <v>0</v>
      </c>
      <c r="W133" s="88">
        <f t="shared" si="22"/>
        <v>1727.1513173952505</v>
      </c>
      <c r="X133" s="88">
        <f t="shared" si="23"/>
        <v>277412.04065619421</v>
      </c>
      <c r="Y133" s="88">
        <f t="shared" si="27"/>
        <v>75765.599999999977</v>
      </c>
    </row>
    <row r="134" spans="8:25">
      <c r="H134" s="87">
        <v>84</v>
      </c>
      <c r="I134" s="86">
        <f>IFERROR(EOMONTH(DATE($C$10,$C$9,1),84-1),"")</f>
        <v>47483</v>
      </c>
      <c r="J134" s="85">
        <f t="shared" si="24"/>
        <v>266166.37491458724</v>
      </c>
      <c r="K134" s="85">
        <f t="shared" si="14"/>
        <v>445.83</v>
      </c>
      <c r="L134" s="85">
        <f t="shared" si="15"/>
        <v>1018.147651631486</v>
      </c>
      <c r="M134" s="85">
        <f t="shared" si="16"/>
        <v>0</v>
      </c>
      <c r="N134" s="85">
        <f t="shared" si="17"/>
        <v>1463.977651631486</v>
      </c>
      <c r="O134" s="85">
        <f t="shared" si="18"/>
        <v>265148.22726295574</v>
      </c>
      <c r="P134" s="85">
        <f t="shared" si="25"/>
        <v>43122.350000000013</v>
      </c>
      <c r="Q134" s="87">
        <v>84</v>
      </c>
      <c r="R134" s="86">
        <f>IFERROR(EOMONTH(DATE($F$10,$F$9,1),84-1),"")</f>
        <v>47483</v>
      </c>
      <c r="S134" s="85">
        <f t="shared" si="26"/>
        <v>277412.04065619421</v>
      </c>
      <c r="T134" s="85">
        <f t="shared" si="19"/>
        <v>809.12</v>
      </c>
      <c r="U134" s="85">
        <f t="shared" si="20"/>
        <v>918.03131739525054</v>
      </c>
      <c r="V134" s="85">
        <f t="shared" si="21"/>
        <v>0</v>
      </c>
      <c r="W134" s="85">
        <f t="shared" si="22"/>
        <v>1727.1513173952505</v>
      </c>
      <c r="X134" s="85">
        <f t="shared" si="23"/>
        <v>276494.00933879893</v>
      </c>
      <c r="Y134" s="85">
        <f t="shared" si="27"/>
        <v>76574.719999999972</v>
      </c>
    </row>
    <row r="135" spans="8:25">
      <c r="H135" s="93">
        <v>85</v>
      </c>
      <c r="I135" s="92">
        <f>IFERROR(EOMONTH(DATE($C$10,$C$9,1),85-1),"")</f>
        <v>47514</v>
      </c>
      <c r="J135" s="91">
        <f t="shared" si="24"/>
        <v>265148.22726295574</v>
      </c>
      <c r="K135" s="91">
        <f t="shared" si="14"/>
        <v>444.12</v>
      </c>
      <c r="L135" s="91">
        <f t="shared" si="15"/>
        <v>1019.857651631486</v>
      </c>
      <c r="M135" s="91">
        <f t="shared" si="16"/>
        <v>0</v>
      </c>
      <c r="N135" s="91">
        <f t="shared" si="17"/>
        <v>1463.977651631486</v>
      </c>
      <c r="O135" s="91">
        <f t="shared" si="18"/>
        <v>264128.36961132428</v>
      </c>
      <c r="P135" s="91">
        <f t="shared" si="25"/>
        <v>43566.470000000016</v>
      </c>
      <c r="Q135" s="90">
        <v>85</v>
      </c>
      <c r="R135" s="89">
        <f>IFERROR(EOMONTH(DATE($F$10,$F$9,1),85-1),"")</f>
        <v>47514</v>
      </c>
      <c r="S135" s="88">
        <f t="shared" si="26"/>
        <v>276494.00933879893</v>
      </c>
      <c r="T135" s="88">
        <f t="shared" si="19"/>
        <v>806.44</v>
      </c>
      <c r="U135" s="88">
        <f t="shared" si="20"/>
        <v>920.71131739525049</v>
      </c>
      <c r="V135" s="88">
        <f t="shared" si="21"/>
        <v>0</v>
      </c>
      <c r="W135" s="88">
        <f t="shared" si="22"/>
        <v>1727.1513173952505</v>
      </c>
      <c r="X135" s="88">
        <f t="shared" si="23"/>
        <v>275573.29802140367</v>
      </c>
      <c r="Y135" s="88">
        <f t="shared" si="27"/>
        <v>77381.159999999974</v>
      </c>
    </row>
    <row r="136" spans="8:25">
      <c r="H136" s="87">
        <v>86</v>
      </c>
      <c r="I136" s="86">
        <f>IFERROR(EOMONTH(DATE($C$10,$C$9,1),86-1),"")</f>
        <v>47542</v>
      </c>
      <c r="J136" s="85">
        <f t="shared" si="24"/>
        <v>264128.36961132428</v>
      </c>
      <c r="K136" s="85">
        <f t="shared" si="14"/>
        <v>442.42</v>
      </c>
      <c r="L136" s="85">
        <f t="shared" si="15"/>
        <v>1021.5576516314859</v>
      </c>
      <c r="M136" s="85">
        <f t="shared" si="16"/>
        <v>0</v>
      </c>
      <c r="N136" s="85">
        <f t="shared" si="17"/>
        <v>1463.977651631486</v>
      </c>
      <c r="O136" s="85">
        <f t="shared" si="18"/>
        <v>263106.8119596928</v>
      </c>
      <c r="P136" s="85">
        <f t="shared" si="25"/>
        <v>44008.890000000014</v>
      </c>
      <c r="Q136" s="87">
        <v>86</v>
      </c>
      <c r="R136" s="86">
        <f>IFERROR(EOMONTH(DATE($F$10,$F$9,1),86-1),"")</f>
        <v>47542</v>
      </c>
      <c r="S136" s="85">
        <f t="shared" si="26"/>
        <v>275573.29802140367</v>
      </c>
      <c r="T136" s="85">
        <f t="shared" si="19"/>
        <v>803.76</v>
      </c>
      <c r="U136" s="85">
        <f t="shared" si="20"/>
        <v>923.39131739525055</v>
      </c>
      <c r="V136" s="85">
        <f t="shared" si="21"/>
        <v>0</v>
      </c>
      <c r="W136" s="85">
        <f t="shared" si="22"/>
        <v>1727.1513173952505</v>
      </c>
      <c r="X136" s="85">
        <f t="shared" si="23"/>
        <v>274649.9067040084</v>
      </c>
      <c r="Y136" s="85">
        <f t="shared" si="27"/>
        <v>78184.919999999969</v>
      </c>
    </row>
    <row r="137" spans="8:25">
      <c r="H137" s="93">
        <v>87</v>
      </c>
      <c r="I137" s="92">
        <f>IFERROR(EOMONTH(DATE($C$10,$C$9,1),87-1),"")</f>
        <v>47573</v>
      </c>
      <c r="J137" s="91">
        <f t="shared" si="24"/>
        <v>263106.8119596928</v>
      </c>
      <c r="K137" s="91">
        <f t="shared" si="14"/>
        <v>440.7</v>
      </c>
      <c r="L137" s="91">
        <f t="shared" si="15"/>
        <v>1023.2776516314859</v>
      </c>
      <c r="M137" s="91">
        <f t="shared" si="16"/>
        <v>0</v>
      </c>
      <c r="N137" s="91">
        <f t="shared" si="17"/>
        <v>1463.977651631486</v>
      </c>
      <c r="O137" s="91">
        <f t="shared" si="18"/>
        <v>262083.53430806132</v>
      </c>
      <c r="P137" s="91">
        <f t="shared" si="25"/>
        <v>44449.590000000011</v>
      </c>
      <c r="Q137" s="90">
        <v>87</v>
      </c>
      <c r="R137" s="89">
        <f>IFERROR(EOMONTH(DATE($F$10,$F$9,1),87-1),"")</f>
        <v>47573</v>
      </c>
      <c r="S137" s="88">
        <f t="shared" si="26"/>
        <v>274649.9067040084</v>
      </c>
      <c r="T137" s="88">
        <f t="shared" si="19"/>
        <v>801.06</v>
      </c>
      <c r="U137" s="88">
        <f t="shared" si="20"/>
        <v>926.0913173952506</v>
      </c>
      <c r="V137" s="88">
        <f t="shared" si="21"/>
        <v>0</v>
      </c>
      <c r="W137" s="88">
        <f t="shared" si="22"/>
        <v>1727.1513173952505</v>
      </c>
      <c r="X137" s="88">
        <f t="shared" si="23"/>
        <v>273723.81538661313</v>
      </c>
      <c r="Y137" s="88">
        <f t="shared" si="27"/>
        <v>78985.979999999967</v>
      </c>
    </row>
    <row r="138" spans="8:25">
      <c r="H138" s="87">
        <v>88</v>
      </c>
      <c r="I138" s="86">
        <f>IFERROR(EOMONTH(DATE($C$10,$C$9,1),88-1),"")</f>
        <v>47603</v>
      </c>
      <c r="J138" s="85">
        <f t="shared" si="24"/>
        <v>262083.53430806132</v>
      </c>
      <c r="K138" s="85">
        <f t="shared" si="14"/>
        <v>438.99</v>
      </c>
      <c r="L138" s="85">
        <f t="shared" si="15"/>
        <v>1024.987651631486</v>
      </c>
      <c r="M138" s="85">
        <f t="shared" si="16"/>
        <v>0</v>
      </c>
      <c r="N138" s="85">
        <f t="shared" si="17"/>
        <v>1463.977651631486</v>
      </c>
      <c r="O138" s="85">
        <f t="shared" si="18"/>
        <v>261058.54665642983</v>
      </c>
      <c r="P138" s="85">
        <f t="shared" si="25"/>
        <v>44888.580000000009</v>
      </c>
      <c r="Q138" s="87">
        <v>88</v>
      </c>
      <c r="R138" s="86">
        <f>IFERROR(EOMONTH(DATE($F$10,$F$9,1),88-1),"")</f>
        <v>47603</v>
      </c>
      <c r="S138" s="85">
        <f t="shared" si="26"/>
        <v>273723.81538661313</v>
      </c>
      <c r="T138" s="85">
        <f t="shared" si="19"/>
        <v>798.36</v>
      </c>
      <c r="U138" s="85">
        <f t="shared" si="20"/>
        <v>928.79131739525053</v>
      </c>
      <c r="V138" s="85">
        <f t="shared" si="21"/>
        <v>0</v>
      </c>
      <c r="W138" s="85">
        <f t="shared" si="22"/>
        <v>1727.1513173952505</v>
      </c>
      <c r="X138" s="85">
        <f t="shared" si="23"/>
        <v>272795.02406921791</v>
      </c>
      <c r="Y138" s="85">
        <f t="shared" si="27"/>
        <v>79784.339999999967</v>
      </c>
    </row>
    <row r="139" spans="8:25">
      <c r="H139" s="93">
        <v>89</v>
      </c>
      <c r="I139" s="92">
        <f>IFERROR(EOMONTH(DATE($C$10,$C$9,1),89-1),"")</f>
        <v>47634</v>
      </c>
      <c r="J139" s="91">
        <f t="shared" si="24"/>
        <v>261058.54665642983</v>
      </c>
      <c r="K139" s="91">
        <f t="shared" si="14"/>
        <v>437.27</v>
      </c>
      <c r="L139" s="91">
        <f t="shared" si="15"/>
        <v>1026.707651631486</v>
      </c>
      <c r="M139" s="91">
        <f t="shared" si="16"/>
        <v>0</v>
      </c>
      <c r="N139" s="91">
        <f t="shared" si="17"/>
        <v>1463.977651631486</v>
      </c>
      <c r="O139" s="91">
        <f t="shared" si="18"/>
        <v>260031.83900479833</v>
      </c>
      <c r="P139" s="91">
        <f t="shared" si="25"/>
        <v>45325.850000000006</v>
      </c>
      <c r="Q139" s="90">
        <v>89</v>
      </c>
      <c r="R139" s="89">
        <f>IFERROR(EOMONTH(DATE($F$10,$F$9,1),89-1),"")</f>
        <v>47634</v>
      </c>
      <c r="S139" s="88">
        <f t="shared" si="26"/>
        <v>272795.02406921791</v>
      </c>
      <c r="T139" s="88">
        <f t="shared" si="19"/>
        <v>795.65</v>
      </c>
      <c r="U139" s="88">
        <f t="shared" si="20"/>
        <v>931.50131739525057</v>
      </c>
      <c r="V139" s="88">
        <f t="shared" si="21"/>
        <v>0</v>
      </c>
      <c r="W139" s="88">
        <f t="shared" si="22"/>
        <v>1727.1513173952505</v>
      </c>
      <c r="X139" s="88">
        <f t="shared" si="23"/>
        <v>271863.52275182266</v>
      </c>
      <c r="Y139" s="88">
        <f t="shared" si="27"/>
        <v>80579.989999999962</v>
      </c>
    </row>
    <row r="140" spans="8:25">
      <c r="H140" s="87">
        <v>90</v>
      </c>
      <c r="I140" s="86">
        <f>IFERROR(EOMONTH(DATE($C$10,$C$9,1),90-1),"")</f>
        <v>47664</v>
      </c>
      <c r="J140" s="85">
        <f t="shared" si="24"/>
        <v>260031.83900479833</v>
      </c>
      <c r="K140" s="85">
        <f t="shared" si="14"/>
        <v>435.55</v>
      </c>
      <c r="L140" s="85">
        <f t="shared" si="15"/>
        <v>1028.427651631486</v>
      </c>
      <c r="M140" s="85">
        <f t="shared" si="16"/>
        <v>0</v>
      </c>
      <c r="N140" s="85">
        <f t="shared" si="17"/>
        <v>1463.977651631486</v>
      </c>
      <c r="O140" s="85">
        <f t="shared" si="18"/>
        <v>259003.41135316683</v>
      </c>
      <c r="P140" s="85">
        <f t="shared" si="25"/>
        <v>45761.400000000009</v>
      </c>
      <c r="Q140" s="87">
        <v>90</v>
      </c>
      <c r="R140" s="86">
        <f>IFERROR(EOMONTH(DATE($F$10,$F$9,1),90-1),"")</f>
        <v>47664</v>
      </c>
      <c r="S140" s="85">
        <f t="shared" si="26"/>
        <v>271863.52275182266</v>
      </c>
      <c r="T140" s="85">
        <f t="shared" si="19"/>
        <v>792.94</v>
      </c>
      <c r="U140" s="85">
        <f t="shared" si="20"/>
        <v>934.21131739525049</v>
      </c>
      <c r="V140" s="85">
        <f t="shared" si="21"/>
        <v>0</v>
      </c>
      <c r="W140" s="85">
        <f t="shared" si="22"/>
        <v>1727.1513173952505</v>
      </c>
      <c r="X140" s="85">
        <f t="shared" si="23"/>
        <v>270929.31143442739</v>
      </c>
      <c r="Y140" s="85">
        <f t="shared" si="27"/>
        <v>81372.929999999964</v>
      </c>
    </row>
    <row r="141" spans="8:25">
      <c r="H141" s="93">
        <v>91</v>
      </c>
      <c r="I141" s="92">
        <f>IFERROR(EOMONTH(DATE($C$10,$C$9,1),91-1),"")</f>
        <v>47695</v>
      </c>
      <c r="J141" s="91">
        <f t="shared" si="24"/>
        <v>259003.41135316683</v>
      </c>
      <c r="K141" s="91">
        <f t="shared" si="14"/>
        <v>433.83</v>
      </c>
      <c r="L141" s="91">
        <f t="shared" si="15"/>
        <v>1030.147651631486</v>
      </c>
      <c r="M141" s="91">
        <f t="shared" si="16"/>
        <v>0</v>
      </c>
      <c r="N141" s="91">
        <f t="shared" si="17"/>
        <v>1463.977651631486</v>
      </c>
      <c r="O141" s="91">
        <f t="shared" si="18"/>
        <v>257973.26370153535</v>
      </c>
      <c r="P141" s="91">
        <f t="shared" si="25"/>
        <v>46195.23000000001</v>
      </c>
      <c r="Q141" s="90">
        <v>91</v>
      </c>
      <c r="R141" s="89">
        <f>IFERROR(EOMONTH(DATE($F$10,$F$9,1),91-1),"")</f>
        <v>47695</v>
      </c>
      <c r="S141" s="88">
        <f t="shared" si="26"/>
        <v>270929.31143442739</v>
      </c>
      <c r="T141" s="88">
        <f t="shared" si="19"/>
        <v>790.21</v>
      </c>
      <c r="U141" s="88">
        <f t="shared" si="20"/>
        <v>936.94131739525051</v>
      </c>
      <c r="V141" s="88">
        <f t="shared" si="21"/>
        <v>0</v>
      </c>
      <c r="W141" s="88">
        <f t="shared" si="22"/>
        <v>1727.1513173952505</v>
      </c>
      <c r="X141" s="88">
        <f t="shared" si="23"/>
        <v>269992.37011703214</v>
      </c>
      <c r="Y141" s="88">
        <f t="shared" si="27"/>
        <v>82163.13999999997</v>
      </c>
    </row>
    <row r="142" spans="8:25">
      <c r="H142" s="87">
        <v>92</v>
      </c>
      <c r="I142" s="86">
        <f>IFERROR(EOMONTH(DATE($C$10,$C$9,1),92-1),"")</f>
        <v>47726</v>
      </c>
      <c r="J142" s="85">
        <f t="shared" si="24"/>
        <v>257973.26370153535</v>
      </c>
      <c r="K142" s="85">
        <f t="shared" si="14"/>
        <v>432.11</v>
      </c>
      <c r="L142" s="85">
        <f t="shared" si="15"/>
        <v>1031.8676516314858</v>
      </c>
      <c r="M142" s="85">
        <f t="shared" si="16"/>
        <v>0</v>
      </c>
      <c r="N142" s="85">
        <f t="shared" si="17"/>
        <v>1463.977651631486</v>
      </c>
      <c r="O142" s="85">
        <f t="shared" si="18"/>
        <v>256941.39604990388</v>
      </c>
      <c r="P142" s="85">
        <f t="shared" si="25"/>
        <v>46627.340000000011</v>
      </c>
      <c r="Q142" s="87">
        <v>92</v>
      </c>
      <c r="R142" s="86">
        <f>IFERROR(EOMONTH(DATE($F$10,$F$9,1),92-1),"")</f>
        <v>47726</v>
      </c>
      <c r="S142" s="85">
        <f t="shared" si="26"/>
        <v>269992.37011703214</v>
      </c>
      <c r="T142" s="85">
        <f t="shared" si="19"/>
        <v>787.48</v>
      </c>
      <c r="U142" s="85">
        <f t="shared" si="20"/>
        <v>939.67131739525053</v>
      </c>
      <c r="V142" s="85">
        <f t="shared" si="21"/>
        <v>0</v>
      </c>
      <c r="W142" s="85">
        <f t="shared" si="22"/>
        <v>1727.1513173952505</v>
      </c>
      <c r="X142" s="85">
        <f t="shared" si="23"/>
        <v>269052.69879963691</v>
      </c>
      <c r="Y142" s="85">
        <f t="shared" si="27"/>
        <v>82950.619999999966</v>
      </c>
    </row>
    <row r="143" spans="8:25">
      <c r="H143" s="93">
        <v>93</v>
      </c>
      <c r="I143" s="92">
        <f>IFERROR(EOMONTH(DATE($C$10,$C$9,1),93-1),"")</f>
        <v>47756</v>
      </c>
      <c r="J143" s="91">
        <f t="shared" si="24"/>
        <v>256941.39604990388</v>
      </c>
      <c r="K143" s="91">
        <f t="shared" si="14"/>
        <v>430.38</v>
      </c>
      <c r="L143" s="91">
        <f t="shared" si="15"/>
        <v>1033.5976516314859</v>
      </c>
      <c r="M143" s="91">
        <f t="shared" si="16"/>
        <v>0</v>
      </c>
      <c r="N143" s="91">
        <f t="shared" si="17"/>
        <v>1463.977651631486</v>
      </c>
      <c r="O143" s="91">
        <f t="shared" si="18"/>
        <v>255907.7983982724</v>
      </c>
      <c r="P143" s="91">
        <f t="shared" si="25"/>
        <v>47057.720000000008</v>
      </c>
      <c r="Q143" s="90">
        <v>93</v>
      </c>
      <c r="R143" s="89">
        <f>IFERROR(EOMONTH(DATE($F$10,$F$9,1),93-1),"")</f>
        <v>47756</v>
      </c>
      <c r="S143" s="88">
        <f t="shared" si="26"/>
        <v>269052.69879963691</v>
      </c>
      <c r="T143" s="88">
        <f t="shared" si="19"/>
        <v>784.74</v>
      </c>
      <c r="U143" s="88">
        <f t="shared" si="20"/>
        <v>942.41131739525053</v>
      </c>
      <c r="V143" s="88">
        <f t="shared" si="21"/>
        <v>0</v>
      </c>
      <c r="W143" s="88">
        <f t="shared" si="22"/>
        <v>1727.1513173952505</v>
      </c>
      <c r="X143" s="88">
        <f t="shared" si="23"/>
        <v>268110.28748224163</v>
      </c>
      <c r="Y143" s="88">
        <f t="shared" si="27"/>
        <v>83735.359999999971</v>
      </c>
    </row>
    <row r="144" spans="8:25">
      <c r="H144" s="87">
        <v>94</v>
      </c>
      <c r="I144" s="86">
        <f>IFERROR(EOMONTH(DATE($C$10,$C$9,1),94-1),"")</f>
        <v>47787</v>
      </c>
      <c r="J144" s="85">
        <f t="shared" si="24"/>
        <v>255907.7983982724</v>
      </c>
      <c r="K144" s="85">
        <f t="shared" si="14"/>
        <v>428.65</v>
      </c>
      <c r="L144" s="85">
        <f t="shared" si="15"/>
        <v>1035.3276516314859</v>
      </c>
      <c r="M144" s="85">
        <f t="shared" si="16"/>
        <v>0</v>
      </c>
      <c r="N144" s="85">
        <f t="shared" si="17"/>
        <v>1463.977651631486</v>
      </c>
      <c r="O144" s="85">
        <f t="shared" si="18"/>
        <v>254872.4707466409</v>
      </c>
      <c r="P144" s="85">
        <f t="shared" si="25"/>
        <v>47486.37000000001</v>
      </c>
      <c r="Q144" s="87">
        <v>94</v>
      </c>
      <c r="R144" s="86">
        <f>IFERROR(EOMONTH(DATE($F$10,$F$9,1),94-1),"")</f>
        <v>47787</v>
      </c>
      <c r="S144" s="85">
        <f t="shared" si="26"/>
        <v>268110.28748224163</v>
      </c>
      <c r="T144" s="85">
        <f t="shared" si="19"/>
        <v>781.99</v>
      </c>
      <c r="U144" s="85">
        <f t="shared" si="20"/>
        <v>945.16131739525053</v>
      </c>
      <c r="V144" s="85">
        <f t="shared" si="21"/>
        <v>0</v>
      </c>
      <c r="W144" s="85">
        <f t="shared" si="22"/>
        <v>1727.1513173952505</v>
      </c>
      <c r="X144" s="85">
        <f t="shared" si="23"/>
        <v>267165.12616484636</v>
      </c>
      <c r="Y144" s="85">
        <f t="shared" si="27"/>
        <v>84517.349999999977</v>
      </c>
    </row>
    <row r="145" spans="8:25">
      <c r="H145" s="93">
        <v>95</v>
      </c>
      <c r="I145" s="92">
        <f>IFERROR(EOMONTH(DATE($C$10,$C$9,1),95-1),"")</f>
        <v>47817</v>
      </c>
      <c r="J145" s="91">
        <f t="shared" si="24"/>
        <v>254872.4707466409</v>
      </c>
      <c r="K145" s="91">
        <f t="shared" si="14"/>
        <v>426.91</v>
      </c>
      <c r="L145" s="91">
        <f t="shared" si="15"/>
        <v>1037.0676516314859</v>
      </c>
      <c r="M145" s="91">
        <f t="shared" si="16"/>
        <v>0</v>
      </c>
      <c r="N145" s="91">
        <f t="shared" si="17"/>
        <v>1463.977651631486</v>
      </c>
      <c r="O145" s="91">
        <f t="shared" si="18"/>
        <v>253835.40309500942</v>
      </c>
      <c r="P145" s="91">
        <f t="shared" si="25"/>
        <v>47913.280000000013</v>
      </c>
      <c r="Q145" s="90">
        <v>95</v>
      </c>
      <c r="R145" s="89">
        <f>IFERROR(EOMONTH(DATE($F$10,$F$9,1),95-1),"")</f>
        <v>47817</v>
      </c>
      <c r="S145" s="88">
        <f t="shared" si="26"/>
        <v>267165.12616484636</v>
      </c>
      <c r="T145" s="88">
        <f t="shared" si="19"/>
        <v>779.23</v>
      </c>
      <c r="U145" s="88">
        <f t="shared" si="20"/>
        <v>947.92131739525053</v>
      </c>
      <c r="V145" s="88">
        <f t="shared" si="21"/>
        <v>0</v>
      </c>
      <c r="W145" s="88">
        <f t="shared" si="22"/>
        <v>1727.1513173952505</v>
      </c>
      <c r="X145" s="88">
        <f t="shared" si="23"/>
        <v>266217.20484745112</v>
      </c>
      <c r="Y145" s="88">
        <f t="shared" si="27"/>
        <v>85296.579999999973</v>
      </c>
    </row>
    <row r="146" spans="8:25">
      <c r="H146" s="87">
        <v>96</v>
      </c>
      <c r="I146" s="86">
        <f>IFERROR(EOMONTH(DATE($C$10,$C$9,1),96-1),"")</f>
        <v>47848</v>
      </c>
      <c r="J146" s="85">
        <f t="shared" si="24"/>
        <v>253835.40309500942</v>
      </c>
      <c r="K146" s="85">
        <f t="shared" si="14"/>
        <v>425.17</v>
      </c>
      <c r="L146" s="85">
        <f t="shared" si="15"/>
        <v>1038.8076516314859</v>
      </c>
      <c r="M146" s="85">
        <f t="shared" si="16"/>
        <v>0</v>
      </c>
      <c r="N146" s="85">
        <f t="shared" si="17"/>
        <v>1463.977651631486</v>
      </c>
      <c r="O146" s="85">
        <f t="shared" si="18"/>
        <v>252796.59544337794</v>
      </c>
      <c r="P146" s="85">
        <f t="shared" si="25"/>
        <v>48338.450000000012</v>
      </c>
      <c r="Q146" s="87">
        <v>96</v>
      </c>
      <c r="R146" s="86">
        <f>IFERROR(EOMONTH(DATE($F$10,$F$9,1),96-1),"")</f>
        <v>47848</v>
      </c>
      <c r="S146" s="85">
        <f t="shared" si="26"/>
        <v>266217.20484745112</v>
      </c>
      <c r="T146" s="85">
        <f t="shared" si="19"/>
        <v>776.47</v>
      </c>
      <c r="U146" s="85">
        <f t="shared" si="20"/>
        <v>950.68131739525052</v>
      </c>
      <c r="V146" s="85">
        <f t="shared" si="21"/>
        <v>0</v>
      </c>
      <c r="W146" s="85">
        <f t="shared" si="22"/>
        <v>1727.1513173952505</v>
      </c>
      <c r="X146" s="85">
        <f t="shared" si="23"/>
        <v>265266.52353005589</v>
      </c>
      <c r="Y146" s="85">
        <f t="shared" si="27"/>
        <v>86073.049999999974</v>
      </c>
    </row>
    <row r="147" spans="8:25">
      <c r="H147" s="93">
        <v>97</v>
      </c>
      <c r="I147" s="92">
        <f>IFERROR(EOMONTH(DATE($C$10,$C$9,1),97-1),"")</f>
        <v>47879</v>
      </c>
      <c r="J147" s="91">
        <f t="shared" si="24"/>
        <v>252796.59544337794</v>
      </c>
      <c r="K147" s="91">
        <f t="shared" si="14"/>
        <v>423.43</v>
      </c>
      <c r="L147" s="91">
        <f t="shared" si="15"/>
        <v>1040.5476516314859</v>
      </c>
      <c r="M147" s="91">
        <f t="shared" si="16"/>
        <v>0</v>
      </c>
      <c r="N147" s="91">
        <f t="shared" si="17"/>
        <v>1463.977651631486</v>
      </c>
      <c r="O147" s="91">
        <f t="shared" si="18"/>
        <v>251756.04779174645</v>
      </c>
      <c r="P147" s="91">
        <f t="shared" si="25"/>
        <v>48761.880000000012</v>
      </c>
      <c r="Q147" s="90">
        <v>97</v>
      </c>
      <c r="R147" s="89">
        <f>IFERROR(EOMONTH(DATE($F$10,$F$9,1),97-1),"")</f>
        <v>47879</v>
      </c>
      <c r="S147" s="88">
        <f t="shared" si="26"/>
        <v>265266.52353005589</v>
      </c>
      <c r="T147" s="88">
        <f t="shared" si="19"/>
        <v>773.69</v>
      </c>
      <c r="U147" s="88">
        <f t="shared" si="20"/>
        <v>953.46131739525049</v>
      </c>
      <c r="V147" s="88">
        <f t="shared" si="21"/>
        <v>0</v>
      </c>
      <c r="W147" s="88">
        <f t="shared" si="22"/>
        <v>1727.1513173952505</v>
      </c>
      <c r="X147" s="88">
        <f t="shared" si="23"/>
        <v>264313.06221266062</v>
      </c>
      <c r="Y147" s="88">
        <f t="shared" si="27"/>
        <v>86846.739999999976</v>
      </c>
    </row>
    <row r="148" spans="8:25">
      <c r="H148" s="87">
        <v>98</v>
      </c>
      <c r="I148" s="86">
        <f>IFERROR(EOMONTH(DATE($C$10,$C$9,1),98-1),"")</f>
        <v>47907</v>
      </c>
      <c r="J148" s="85">
        <f t="shared" si="24"/>
        <v>251756.04779174645</v>
      </c>
      <c r="K148" s="85">
        <f t="shared" si="14"/>
        <v>421.69</v>
      </c>
      <c r="L148" s="85">
        <f t="shared" si="15"/>
        <v>1042.2876516314859</v>
      </c>
      <c r="M148" s="85">
        <f t="shared" si="16"/>
        <v>0</v>
      </c>
      <c r="N148" s="85">
        <f t="shared" si="17"/>
        <v>1463.977651631486</v>
      </c>
      <c r="O148" s="85">
        <f t="shared" si="18"/>
        <v>250713.76014011496</v>
      </c>
      <c r="P148" s="85">
        <f t="shared" si="25"/>
        <v>49183.570000000014</v>
      </c>
      <c r="Q148" s="87">
        <v>98</v>
      </c>
      <c r="R148" s="86">
        <f>IFERROR(EOMONTH(DATE($F$10,$F$9,1),98-1),"")</f>
        <v>47907</v>
      </c>
      <c r="S148" s="85">
        <f t="shared" si="26"/>
        <v>264313.06221266062</v>
      </c>
      <c r="T148" s="85">
        <f t="shared" si="19"/>
        <v>770.91</v>
      </c>
      <c r="U148" s="85">
        <f t="shared" si="20"/>
        <v>956.24131739525058</v>
      </c>
      <c r="V148" s="85">
        <f t="shared" si="21"/>
        <v>0</v>
      </c>
      <c r="W148" s="85">
        <f t="shared" si="22"/>
        <v>1727.1513173952505</v>
      </c>
      <c r="X148" s="85">
        <f t="shared" si="23"/>
        <v>263356.82089526538</v>
      </c>
      <c r="Y148" s="85">
        <f t="shared" si="27"/>
        <v>87617.64999999998</v>
      </c>
    </row>
    <row r="149" spans="8:25">
      <c r="H149" s="93">
        <v>99</v>
      </c>
      <c r="I149" s="92">
        <f>IFERROR(EOMONTH(DATE($C$10,$C$9,1),99-1),"")</f>
        <v>47938</v>
      </c>
      <c r="J149" s="91">
        <f t="shared" si="24"/>
        <v>250713.76014011496</v>
      </c>
      <c r="K149" s="91">
        <f t="shared" si="14"/>
        <v>419.95</v>
      </c>
      <c r="L149" s="91">
        <f t="shared" si="15"/>
        <v>1044.0276516314859</v>
      </c>
      <c r="M149" s="91">
        <f t="shared" si="16"/>
        <v>0</v>
      </c>
      <c r="N149" s="91">
        <f t="shared" si="17"/>
        <v>1463.977651631486</v>
      </c>
      <c r="O149" s="91">
        <f t="shared" si="18"/>
        <v>249669.73248848348</v>
      </c>
      <c r="P149" s="91">
        <f t="shared" si="25"/>
        <v>49603.520000000011</v>
      </c>
      <c r="Q149" s="90">
        <v>99</v>
      </c>
      <c r="R149" s="89">
        <f>IFERROR(EOMONTH(DATE($F$10,$F$9,1),99-1),"")</f>
        <v>47938</v>
      </c>
      <c r="S149" s="88">
        <f t="shared" si="26"/>
        <v>263356.82089526538</v>
      </c>
      <c r="T149" s="88">
        <f t="shared" si="19"/>
        <v>768.12</v>
      </c>
      <c r="U149" s="88">
        <f t="shared" si="20"/>
        <v>959.03131739525054</v>
      </c>
      <c r="V149" s="88">
        <f t="shared" si="21"/>
        <v>0</v>
      </c>
      <c r="W149" s="88">
        <f t="shared" si="22"/>
        <v>1727.1513173952505</v>
      </c>
      <c r="X149" s="88">
        <f t="shared" si="23"/>
        <v>262397.78957787011</v>
      </c>
      <c r="Y149" s="88">
        <f t="shared" si="27"/>
        <v>88385.769999999975</v>
      </c>
    </row>
    <row r="150" spans="8:25">
      <c r="H150" s="87">
        <v>100</v>
      </c>
      <c r="I150" s="86">
        <f>IFERROR(EOMONTH(DATE($C$10,$C$9,1),100-1),"")</f>
        <v>47968</v>
      </c>
      <c r="J150" s="85">
        <f t="shared" si="24"/>
        <v>249669.73248848348</v>
      </c>
      <c r="K150" s="85">
        <f t="shared" si="14"/>
        <v>418.2</v>
      </c>
      <c r="L150" s="85">
        <f t="shared" si="15"/>
        <v>1045.7776516314859</v>
      </c>
      <c r="M150" s="85">
        <f t="shared" si="16"/>
        <v>0</v>
      </c>
      <c r="N150" s="85">
        <f t="shared" si="17"/>
        <v>1463.977651631486</v>
      </c>
      <c r="O150" s="85">
        <f t="shared" si="18"/>
        <v>248623.954836852</v>
      </c>
      <c r="P150" s="85">
        <f t="shared" si="25"/>
        <v>50021.720000000008</v>
      </c>
      <c r="Q150" s="87">
        <v>100</v>
      </c>
      <c r="R150" s="86">
        <f>IFERROR(EOMONTH(DATE($F$10,$F$9,1),100-1),"")</f>
        <v>47968</v>
      </c>
      <c r="S150" s="85">
        <f t="shared" si="26"/>
        <v>262397.78957787011</v>
      </c>
      <c r="T150" s="85">
        <f t="shared" si="19"/>
        <v>765.33</v>
      </c>
      <c r="U150" s="85">
        <f t="shared" si="20"/>
        <v>961.8213173952505</v>
      </c>
      <c r="V150" s="85">
        <f t="shared" si="21"/>
        <v>0</v>
      </c>
      <c r="W150" s="85">
        <f t="shared" si="22"/>
        <v>1727.1513173952505</v>
      </c>
      <c r="X150" s="85">
        <f t="shared" si="23"/>
        <v>261435.96826047485</v>
      </c>
      <c r="Y150" s="85">
        <f t="shared" si="27"/>
        <v>89151.099999999977</v>
      </c>
    </row>
    <row r="151" spans="8:25">
      <c r="H151" s="93">
        <v>101</v>
      </c>
      <c r="I151" s="92">
        <f>IFERROR(EOMONTH(DATE($C$10,$C$9,1),101-1),"")</f>
        <v>47999</v>
      </c>
      <c r="J151" s="91">
        <f t="shared" si="24"/>
        <v>248623.954836852</v>
      </c>
      <c r="K151" s="91">
        <f t="shared" si="14"/>
        <v>416.45</v>
      </c>
      <c r="L151" s="91">
        <f t="shared" si="15"/>
        <v>1047.5276516314859</v>
      </c>
      <c r="M151" s="91">
        <f t="shared" si="16"/>
        <v>0</v>
      </c>
      <c r="N151" s="91">
        <f t="shared" si="17"/>
        <v>1463.977651631486</v>
      </c>
      <c r="O151" s="91">
        <f t="shared" si="18"/>
        <v>247576.42718522053</v>
      </c>
      <c r="P151" s="91">
        <f t="shared" si="25"/>
        <v>50438.170000000006</v>
      </c>
      <c r="Q151" s="90">
        <v>101</v>
      </c>
      <c r="R151" s="89">
        <f>IFERROR(EOMONTH(DATE($F$10,$F$9,1),101-1),"")</f>
        <v>47999</v>
      </c>
      <c r="S151" s="88">
        <f t="shared" si="26"/>
        <v>261435.96826047485</v>
      </c>
      <c r="T151" s="88">
        <f t="shared" si="19"/>
        <v>762.52</v>
      </c>
      <c r="U151" s="88">
        <f t="shared" si="20"/>
        <v>964.63131739525056</v>
      </c>
      <c r="V151" s="88">
        <f t="shared" si="21"/>
        <v>0</v>
      </c>
      <c r="W151" s="88">
        <f t="shared" si="22"/>
        <v>1727.1513173952505</v>
      </c>
      <c r="X151" s="88">
        <f t="shared" si="23"/>
        <v>260471.3369430796</v>
      </c>
      <c r="Y151" s="88">
        <f t="shared" si="27"/>
        <v>89913.619999999981</v>
      </c>
    </row>
    <row r="152" spans="8:25">
      <c r="H152" s="87">
        <v>102</v>
      </c>
      <c r="I152" s="86">
        <f>IFERROR(EOMONTH(DATE($C$10,$C$9,1),102-1),"")</f>
        <v>48029</v>
      </c>
      <c r="J152" s="85">
        <f t="shared" si="24"/>
        <v>247576.42718522053</v>
      </c>
      <c r="K152" s="85">
        <f t="shared" si="14"/>
        <v>414.69</v>
      </c>
      <c r="L152" s="85">
        <f t="shared" si="15"/>
        <v>1049.2876516314859</v>
      </c>
      <c r="M152" s="85">
        <f t="shared" si="16"/>
        <v>0</v>
      </c>
      <c r="N152" s="85">
        <f t="shared" si="17"/>
        <v>1463.977651631486</v>
      </c>
      <c r="O152" s="85">
        <f t="shared" si="18"/>
        <v>246527.13953358904</v>
      </c>
      <c r="P152" s="85">
        <f t="shared" si="25"/>
        <v>50852.860000000008</v>
      </c>
      <c r="Q152" s="87">
        <v>102</v>
      </c>
      <c r="R152" s="86">
        <f>IFERROR(EOMONTH(DATE($F$10,$F$9,1),102-1),"")</f>
        <v>48029</v>
      </c>
      <c r="S152" s="85">
        <f t="shared" si="26"/>
        <v>260471.3369430796</v>
      </c>
      <c r="T152" s="85">
        <f t="shared" si="19"/>
        <v>759.71</v>
      </c>
      <c r="U152" s="85">
        <f t="shared" si="20"/>
        <v>967.44131739525051</v>
      </c>
      <c r="V152" s="85">
        <f t="shared" si="21"/>
        <v>0</v>
      </c>
      <c r="W152" s="85">
        <f t="shared" si="22"/>
        <v>1727.1513173952505</v>
      </c>
      <c r="X152" s="85">
        <f t="shared" si="23"/>
        <v>259503.89562568435</v>
      </c>
      <c r="Y152" s="85">
        <f t="shared" si="27"/>
        <v>90673.329999999987</v>
      </c>
    </row>
    <row r="153" spans="8:25">
      <c r="H153" s="93">
        <v>103</v>
      </c>
      <c r="I153" s="92">
        <f>IFERROR(EOMONTH(DATE($C$10,$C$9,1),103-1),"")</f>
        <v>48060</v>
      </c>
      <c r="J153" s="91">
        <f t="shared" si="24"/>
        <v>246527.13953358904</v>
      </c>
      <c r="K153" s="91">
        <f t="shared" si="14"/>
        <v>412.93</v>
      </c>
      <c r="L153" s="91">
        <f t="shared" si="15"/>
        <v>1051.0476516314859</v>
      </c>
      <c r="M153" s="91">
        <f t="shared" si="16"/>
        <v>0</v>
      </c>
      <c r="N153" s="91">
        <f t="shared" si="17"/>
        <v>1463.977651631486</v>
      </c>
      <c r="O153" s="91">
        <f t="shared" si="18"/>
        <v>245476.09188195755</v>
      </c>
      <c r="P153" s="91">
        <f t="shared" si="25"/>
        <v>51265.790000000008</v>
      </c>
      <c r="Q153" s="90">
        <v>103</v>
      </c>
      <c r="R153" s="89">
        <f>IFERROR(EOMONTH(DATE($F$10,$F$9,1),103-1),"")</f>
        <v>48060</v>
      </c>
      <c r="S153" s="88">
        <f t="shared" si="26"/>
        <v>259503.89562568435</v>
      </c>
      <c r="T153" s="88">
        <f t="shared" si="19"/>
        <v>756.89</v>
      </c>
      <c r="U153" s="88">
        <f t="shared" si="20"/>
        <v>970.26131739525056</v>
      </c>
      <c r="V153" s="88">
        <f t="shared" si="21"/>
        <v>0</v>
      </c>
      <c r="W153" s="88">
        <f t="shared" si="22"/>
        <v>1727.1513173952505</v>
      </c>
      <c r="X153" s="88">
        <f t="shared" si="23"/>
        <v>258533.6343082891</v>
      </c>
      <c r="Y153" s="88">
        <f t="shared" si="27"/>
        <v>91430.219999999987</v>
      </c>
    </row>
    <row r="154" spans="8:25">
      <c r="H154" s="87">
        <v>104</v>
      </c>
      <c r="I154" s="86">
        <f>IFERROR(EOMONTH(DATE($C$10,$C$9,1),104-1),"")</f>
        <v>48091</v>
      </c>
      <c r="J154" s="85">
        <f t="shared" si="24"/>
        <v>245476.09188195755</v>
      </c>
      <c r="K154" s="85">
        <f t="shared" si="14"/>
        <v>411.17</v>
      </c>
      <c r="L154" s="85">
        <f t="shared" si="15"/>
        <v>1052.8076516314859</v>
      </c>
      <c r="M154" s="85">
        <f t="shared" si="16"/>
        <v>0</v>
      </c>
      <c r="N154" s="85">
        <f t="shared" si="17"/>
        <v>1463.977651631486</v>
      </c>
      <c r="O154" s="85">
        <f t="shared" si="18"/>
        <v>244423.28423032607</v>
      </c>
      <c r="P154" s="85">
        <f t="shared" si="25"/>
        <v>51676.960000000006</v>
      </c>
      <c r="Q154" s="87">
        <v>104</v>
      </c>
      <c r="R154" s="86">
        <f>IFERROR(EOMONTH(DATE($F$10,$F$9,1),104-1),"")</f>
        <v>48091</v>
      </c>
      <c r="S154" s="85">
        <f t="shared" si="26"/>
        <v>258533.6343082891</v>
      </c>
      <c r="T154" s="85">
        <f t="shared" si="19"/>
        <v>754.06</v>
      </c>
      <c r="U154" s="85">
        <f t="shared" si="20"/>
        <v>973.0913173952506</v>
      </c>
      <c r="V154" s="85">
        <f t="shared" si="21"/>
        <v>0</v>
      </c>
      <c r="W154" s="85">
        <f t="shared" si="22"/>
        <v>1727.1513173952505</v>
      </c>
      <c r="X154" s="85">
        <f t="shared" si="23"/>
        <v>257560.54299089385</v>
      </c>
      <c r="Y154" s="85">
        <f t="shared" si="27"/>
        <v>92184.279999999984</v>
      </c>
    </row>
    <row r="155" spans="8:25">
      <c r="H155" s="93">
        <v>105</v>
      </c>
      <c r="I155" s="92">
        <f>IFERROR(EOMONTH(DATE($C$10,$C$9,1),105-1),"")</f>
        <v>48121</v>
      </c>
      <c r="J155" s="91">
        <f t="shared" si="24"/>
        <v>244423.28423032607</v>
      </c>
      <c r="K155" s="91">
        <f t="shared" si="14"/>
        <v>409.41</v>
      </c>
      <c r="L155" s="91">
        <f t="shared" si="15"/>
        <v>1054.5676516314859</v>
      </c>
      <c r="M155" s="91">
        <f t="shared" si="16"/>
        <v>0</v>
      </c>
      <c r="N155" s="91">
        <f t="shared" si="17"/>
        <v>1463.977651631486</v>
      </c>
      <c r="O155" s="91">
        <f t="shared" si="18"/>
        <v>243368.71657869458</v>
      </c>
      <c r="P155" s="91">
        <f t="shared" si="25"/>
        <v>52086.37000000001</v>
      </c>
      <c r="Q155" s="90">
        <v>105</v>
      </c>
      <c r="R155" s="89">
        <f>IFERROR(EOMONTH(DATE($F$10,$F$9,1),105-1),"")</f>
        <v>48121</v>
      </c>
      <c r="S155" s="88">
        <f t="shared" si="26"/>
        <v>257560.54299089385</v>
      </c>
      <c r="T155" s="88">
        <f t="shared" si="19"/>
        <v>751.22</v>
      </c>
      <c r="U155" s="88">
        <f t="shared" si="20"/>
        <v>975.93131739525052</v>
      </c>
      <c r="V155" s="88">
        <f t="shared" si="21"/>
        <v>0</v>
      </c>
      <c r="W155" s="88">
        <f t="shared" si="22"/>
        <v>1727.1513173952505</v>
      </c>
      <c r="X155" s="88">
        <f t="shared" si="23"/>
        <v>256584.61167349861</v>
      </c>
      <c r="Y155" s="88">
        <f t="shared" si="27"/>
        <v>92935.499999999985</v>
      </c>
    </row>
    <row r="156" spans="8:25">
      <c r="H156" s="87">
        <v>106</v>
      </c>
      <c r="I156" s="86">
        <f>IFERROR(EOMONTH(DATE($C$10,$C$9,1),106-1),"")</f>
        <v>48152</v>
      </c>
      <c r="J156" s="85">
        <f t="shared" si="24"/>
        <v>243368.71657869458</v>
      </c>
      <c r="K156" s="85">
        <f t="shared" si="14"/>
        <v>407.64</v>
      </c>
      <c r="L156" s="85">
        <f t="shared" si="15"/>
        <v>1056.3376516314861</v>
      </c>
      <c r="M156" s="85">
        <f t="shared" si="16"/>
        <v>0</v>
      </c>
      <c r="N156" s="85">
        <f t="shared" si="17"/>
        <v>1463.977651631486</v>
      </c>
      <c r="O156" s="85">
        <f t="shared" si="18"/>
        <v>242312.37892706311</v>
      </c>
      <c r="P156" s="85">
        <f t="shared" si="25"/>
        <v>52494.010000000009</v>
      </c>
      <c r="Q156" s="87">
        <v>106</v>
      </c>
      <c r="R156" s="86">
        <f>IFERROR(EOMONTH(DATE($F$10,$F$9,1),106-1),"")</f>
        <v>48152</v>
      </c>
      <c r="S156" s="85">
        <f t="shared" si="26"/>
        <v>256584.61167349861</v>
      </c>
      <c r="T156" s="85">
        <f t="shared" si="19"/>
        <v>748.37</v>
      </c>
      <c r="U156" s="85">
        <f t="shared" si="20"/>
        <v>978.78131739525054</v>
      </c>
      <c r="V156" s="85">
        <f t="shared" si="21"/>
        <v>0</v>
      </c>
      <c r="W156" s="85">
        <f t="shared" si="22"/>
        <v>1727.1513173952505</v>
      </c>
      <c r="X156" s="85">
        <f t="shared" si="23"/>
        <v>255605.83035610337</v>
      </c>
      <c r="Y156" s="85">
        <f t="shared" si="27"/>
        <v>93683.869999999981</v>
      </c>
    </row>
    <row r="157" spans="8:25">
      <c r="H157" s="93">
        <v>107</v>
      </c>
      <c r="I157" s="92">
        <f>IFERROR(EOMONTH(DATE($C$10,$C$9,1),107-1),"")</f>
        <v>48182</v>
      </c>
      <c r="J157" s="91">
        <f t="shared" si="24"/>
        <v>242312.37892706311</v>
      </c>
      <c r="K157" s="91">
        <f t="shared" si="14"/>
        <v>405.87</v>
      </c>
      <c r="L157" s="91">
        <f t="shared" si="15"/>
        <v>1058.1076516314861</v>
      </c>
      <c r="M157" s="91">
        <f t="shared" si="16"/>
        <v>0</v>
      </c>
      <c r="N157" s="91">
        <f t="shared" si="17"/>
        <v>1463.977651631486</v>
      </c>
      <c r="O157" s="91">
        <f t="shared" si="18"/>
        <v>241254.27127543162</v>
      </c>
      <c r="P157" s="91">
        <f t="shared" si="25"/>
        <v>52899.880000000012</v>
      </c>
      <c r="Q157" s="90">
        <v>107</v>
      </c>
      <c r="R157" s="89">
        <f>IFERROR(EOMONTH(DATE($F$10,$F$9,1),107-1),"")</f>
        <v>48182</v>
      </c>
      <c r="S157" s="88">
        <f t="shared" si="26"/>
        <v>255605.83035610337</v>
      </c>
      <c r="T157" s="88">
        <f t="shared" si="19"/>
        <v>745.52</v>
      </c>
      <c r="U157" s="88">
        <f t="shared" si="20"/>
        <v>981.63131739525056</v>
      </c>
      <c r="V157" s="88">
        <f t="shared" si="21"/>
        <v>0</v>
      </c>
      <c r="W157" s="88">
        <f t="shared" si="22"/>
        <v>1727.1513173952505</v>
      </c>
      <c r="X157" s="88">
        <f t="shared" si="23"/>
        <v>254624.19903870812</v>
      </c>
      <c r="Y157" s="88">
        <f t="shared" si="27"/>
        <v>94429.389999999985</v>
      </c>
    </row>
    <row r="158" spans="8:25">
      <c r="H158" s="87">
        <v>108</v>
      </c>
      <c r="I158" s="86">
        <f>IFERROR(EOMONTH(DATE($C$10,$C$9,1),108-1),"")</f>
        <v>48213</v>
      </c>
      <c r="J158" s="85">
        <f t="shared" si="24"/>
        <v>241254.27127543162</v>
      </c>
      <c r="K158" s="85">
        <f t="shared" si="14"/>
        <v>404.1</v>
      </c>
      <c r="L158" s="85">
        <f t="shared" si="15"/>
        <v>1059.8776516314861</v>
      </c>
      <c r="M158" s="85">
        <f t="shared" si="16"/>
        <v>0</v>
      </c>
      <c r="N158" s="85">
        <f t="shared" si="17"/>
        <v>1463.977651631486</v>
      </c>
      <c r="O158" s="85">
        <f t="shared" si="18"/>
        <v>240194.39362380013</v>
      </c>
      <c r="P158" s="85">
        <f t="shared" si="25"/>
        <v>53303.98000000001</v>
      </c>
      <c r="Q158" s="87">
        <v>108</v>
      </c>
      <c r="R158" s="86">
        <f>IFERROR(EOMONTH(DATE($F$10,$F$9,1),108-1),"")</f>
        <v>48213</v>
      </c>
      <c r="S158" s="85">
        <f t="shared" si="26"/>
        <v>254624.19903870812</v>
      </c>
      <c r="T158" s="85">
        <f t="shared" si="19"/>
        <v>742.65</v>
      </c>
      <c r="U158" s="85">
        <f t="shared" si="20"/>
        <v>984.50131739525057</v>
      </c>
      <c r="V158" s="85">
        <f t="shared" si="21"/>
        <v>0</v>
      </c>
      <c r="W158" s="85">
        <f t="shared" si="22"/>
        <v>1727.1513173952505</v>
      </c>
      <c r="X158" s="85">
        <f t="shared" si="23"/>
        <v>253639.69772131287</v>
      </c>
      <c r="Y158" s="85">
        <f t="shared" si="27"/>
        <v>95172.039999999979</v>
      </c>
    </row>
    <row r="159" spans="8:25">
      <c r="H159" s="93">
        <v>109</v>
      </c>
      <c r="I159" s="92">
        <f>IFERROR(EOMONTH(DATE($C$10,$C$9,1),109-1),"")</f>
        <v>48244</v>
      </c>
      <c r="J159" s="91">
        <f t="shared" si="24"/>
        <v>240194.39362380013</v>
      </c>
      <c r="K159" s="91">
        <f t="shared" si="14"/>
        <v>402.33</v>
      </c>
      <c r="L159" s="91">
        <f t="shared" si="15"/>
        <v>1061.647651631486</v>
      </c>
      <c r="M159" s="91">
        <f t="shared" si="16"/>
        <v>0</v>
      </c>
      <c r="N159" s="91">
        <f t="shared" si="17"/>
        <v>1463.977651631486</v>
      </c>
      <c r="O159" s="91">
        <f t="shared" si="18"/>
        <v>239132.74597216866</v>
      </c>
      <c r="P159" s="91">
        <f t="shared" si="25"/>
        <v>53706.310000000012</v>
      </c>
      <c r="Q159" s="90">
        <v>109</v>
      </c>
      <c r="R159" s="89">
        <f>IFERROR(EOMONTH(DATE($F$10,$F$9,1),109-1),"")</f>
        <v>48244</v>
      </c>
      <c r="S159" s="88">
        <f t="shared" si="26"/>
        <v>253639.69772131287</v>
      </c>
      <c r="T159" s="88">
        <f t="shared" si="19"/>
        <v>739.78</v>
      </c>
      <c r="U159" s="88">
        <f t="shared" si="20"/>
        <v>987.37131739525057</v>
      </c>
      <c r="V159" s="88">
        <f t="shared" si="21"/>
        <v>0</v>
      </c>
      <c r="W159" s="88">
        <f t="shared" si="22"/>
        <v>1727.1513173952505</v>
      </c>
      <c r="X159" s="88">
        <f t="shared" si="23"/>
        <v>252652.32640391763</v>
      </c>
      <c r="Y159" s="88">
        <f t="shared" si="27"/>
        <v>95911.819999999978</v>
      </c>
    </row>
    <row r="160" spans="8:25">
      <c r="H160" s="87">
        <v>110</v>
      </c>
      <c r="I160" s="86">
        <f>IFERROR(EOMONTH(DATE($C$10,$C$9,1),110-1),"")</f>
        <v>48273</v>
      </c>
      <c r="J160" s="85">
        <f t="shared" si="24"/>
        <v>239132.74597216866</v>
      </c>
      <c r="K160" s="85">
        <f t="shared" si="14"/>
        <v>400.55</v>
      </c>
      <c r="L160" s="85">
        <f t="shared" si="15"/>
        <v>1063.427651631486</v>
      </c>
      <c r="M160" s="85">
        <f t="shared" si="16"/>
        <v>0</v>
      </c>
      <c r="N160" s="85">
        <f t="shared" si="17"/>
        <v>1463.977651631486</v>
      </c>
      <c r="O160" s="85">
        <f t="shared" si="18"/>
        <v>238069.31832053716</v>
      </c>
      <c r="P160" s="85">
        <f t="shared" si="25"/>
        <v>54106.860000000015</v>
      </c>
      <c r="Q160" s="87">
        <v>110</v>
      </c>
      <c r="R160" s="86">
        <f>IFERROR(EOMONTH(DATE($F$10,$F$9,1),110-1),"")</f>
        <v>48273</v>
      </c>
      <c r="S160" s="85">
        <f t="shared" si="26"/>
        <v>252652.32640391763</v>
      </c>
      <c r="T160" s="85">
        <f t="shared" si="19"/>
        <v>736.9</v>
      </c>
      <c r="U160" s="85">
        <f t="shared" si="20"/>
        <v>990.25131739525057</v>
      </c>
      <c r="V160" s="85">
        <f t="shared" si="21"/>
        <v>0</v>
      </c>
      <c r="W160" s="85">
        <f t="shared" si="22"/>
        <v>1727.1513173952505</v>
      </c>
      <c r="X160" s="85">
        <f t="shared" si="23"/>
        <v>251662.07508652238</v>
      </c>
      <c r="Y160" s="85">
        <f t="shared" si="27"/>
        <v>96648.719999999972</v>
      </c>
    </row>
    <row r="161" spans="8:25">
      <c r="H161" s="93">
        <v>111</v>
      </c>
      <c r="I161" s="92">
        <f>IFERROR(EOMONTH(DATE($C$10,$C$9,1),111-1),"")</f>
        <v>48304</v>
      </c>
      <c r="J161" s="91">
        <f t="shared" si="24"/>
        <v>238069.31832053716</v>
      </c>
      <c r="K161" s="91">
        <f t="shared" si="14"/>
        <v>398.77</v>
      </c>
      <c r="L161" s="91">
        <f t="shared" si="15"/>
        <v>1065.207651631486</v>
      </c>
      <c r="M161" s="91">
        <f t="shared" si="16"/>
        <v>0</v>
      </c>
      <c r="N161" s="91">
        <f t="shared" si="17"/>
        <v>1463.977651631486</v>
      </c>
      <c r="O161" s="91">
        <f t="shared" si="18"/>
        <v>237004.11066890566</v>
      </c>
      <c r="P161" s="91">
        <f t="shared" si="25"/>
        <v>54505.630000000012</v>
      </c>
      <c r="Q161" s="90">
        <v>111</v>
      </c>
      <c r="R161" s="89">
        <f>IFERROR(EOMONTH(DATE($F$10,$F$9,1),111-1),"")</f>
        <v>48304</v>
      </c>
      <c r="S161" s="88">
        <f t="shared" si="26"/>
        <v>251662.07508652238</v>
      </c>
      <c r="T161" s="88">
        <f t="shared" si="19"/>
        <v>734.01</v>
      </c>
      <c r="U161" s="88">
        <f t="shared" si="20"/>
        <v>993.14131739525055</v>
      </c>
      <c r="V161" s="88">
        <f t="shared" si="21"/>
        <v>0</v>
      </c>
      <c r="W161" s="88">
        <f t="shared" si="22"/>
        <v>1727.1513173952505</v>
      </c>
      <c r="X161" s="88">
        <f t="shared" si="23"/>
        <v>250668.93376912712</v>
      </c>
      <c r="Y161" s="88">
        <f t="shared" si="27"/>
        <v>97382.729999999967</v>
      </c>
    </row>
    <row r="162" spans="8:25">
      <c r="H162" s="87">
        <v>112</v>
      </c>
      <c r="I162" s="86">
        <f>IFERROR(EOMONTH(DATE($C$10,$C$9,1),112-1),"")</f>
        <v>48334</v>
      </c>
      <c r="J162" s="85">
        <f t="shared" si="24"/>
        <v>237004.11066890566</v>
      </c>
      <c r="K162" s="85">
        <f t="shared" si="14"/>
        <v>396.98</v>
      </c>
      <c r="L162" s="85">
        <f t="shared" si="15"/>
        <v>1066.997651631486</v>
      </c>
      <c r="M162" s="85">
        <f t="shared" si="16"/>
        <v>0</v>
      </c>
      <c r="N162" s="85">
        <f t="shared" si="17"/>
        <v>1463.977651631486</v>
      </c>
      <c r="O162" s="85">
        <f t="shared" si="18"/>
        <v>235937.11301727418</v>
      </c>
      <c r="P162" s="85">
        <f t="shared" si="25"/>
        <v>54902.610000000015</v>
      </c>
      <c r="Q162" s="87">
        <v>112</v>
      </c>
      <c r="R162" s="86">
        <f>IFERROR(EOMONTH(DATE($F$10,$F$9,1),112-1),"")</f>
        <v>48334</v>
      </c>
      <c r="S162" s="85">
        <f t="shared" si="26"/>
        <v>250668.93376912712</v>
      </c>
      <c r="T162" s="85">
        <f t="shared" si="19"/>
        <v>731.12</v>
      </c>
      <c r="U162" s="85">
        <f t="shared" si="20"/>
        <v>996.03131739525054</v>
      </c>
      <c r="V162" s="85">
        <f t="shared" si="21"/>
        <v>0</v>
      </c>
      <c r="W162" s="85">
        <f t="shared" si="22"/>
        <v>1727.1513173952505</v>
      </c>
      <c r="X162" s="85">
        <f t="shared" si="23"/>
        <v>249672.90245173188</v>
      </c>
      <c r="Y162" s="85">
        <f t="shared" si="27"/>
        <v>98113.849999999962</v>
      </c>
    </row>
    <row r="163" spans="8:25">
      <c r="H163" s="93">
        <v>113</v>
      </c>
      <c r="I163" s="92">
        <f>IFERROR(EOMONTH(DATE($C$10,$C$9,1),113-1),"")</f>
        <v>48365</v>
      </c>
      <c r="J163" s="91">
        <f t="shared" si="24"/>
        <v>235937.11301727418</v>
      </c>
      <c r="K163" s="91">
        <f t="shared" si="14"/>
        <v>395.19</v>
      </c>
      <c r="L163" s="91">
        <f t="shared" si="15"/>
        <v>1068.7876516314859</v>
      </c>
      <c r="M163" s="91">
        <f t="shared" si="16"/>
        <v>0</v>
      </c>
      <c r="N163" s="91">
        <f t="shared" si="17"/>
        <v>1463.977651631486</v>
      </c>
      <c r="O163" s="91">
        <f t="shared" si="18"/>
        <v>234868.3253656427</v>
      </c>
      <c r="P163" s="91">
        <f t="shared" si="25"/>
        <v>55297.800000000017</v>
      </c>
      <c r="Q163" s="90">
        <v>113</v>
      </c>
      <c r="R163" s="89">
        <f>IFERROR(EOMONTH(DATE($F$10,$F$9,1),113-1),"")</f>
        <v>48365</v>
      </c>
      <c r="S163" s="88">
        <f t="shared" si="26"/>
        <v>249672.90245173188</v>
      </c>
      <c r="T163" s="88">
        <f t="shared" si="19"/>
        <v>728.21</v>
      </c>
      <c r="U163" s="88">
        <f t="shared" si="20"/>
        <v>998.94131739525051</v>
      </c>
      <c r="V163" s="88">
        <f t="shared" si="21"/>
        <v>0</v>
      </c>
      <c r="W163" s="88">
        <f t="shared" si="22"/>
        <v>1727.1513173952505</v>
      </c>
      <c r="X163" s="88">
        <f t="shared" si="23"/>
        <v>248673.96113433663</v>
      </c>
      <c r="Y163" s="88">
        <f t="shared" si="27"/>
        <v>98842.059999999969</v>
      </c>
    </row>
    <row r="164" spans="8:25">
      <c r="H164" s="87">
        <v>114</v>
      </c>
      <c r="I164" s="86">
        <f>IFERROR(EOMONTH(DATE($C$10,$C$9,1),114-1),"")</f>
        <v>48395</v>
      </c>
      <c r="J164" s="85">
        <f t="shared" si="24"/>
        <v>234868.3253656427</v>
      </c>
      <c r="K164" s="85">
        <f t="shared" si="14"/>
        <v>393.4</v>
      </c>
      <c r="L164" s="85">
        <f t="shared" si="15"/>
        <v>1070.5776516314859</v>
      </c>
      <c r="M164" s="85">
        <f t="shared" si="16"/>
        <v>0</v>
      </c>
      <c r="N164" s="85">
        <f t="shared" si="17"/>
        <v>1463.977651631486</v>
      </c>
      <c r="O164" s="85">
        <f t="shared" si="18"/>
        <v>233797.7477140112</v>
      </c>
      <c r="P164" s="85">
        <f t="shared" si="25"/>
        <v>55691.200000000019</v>
      </c>
      <c r="Q164" s="87">
        <v>114</v>
      </c>
      <c r="R164" s="86">
        <f>IFERROR(EOMONTH(DATE($F$10,$F$9,1),114-1),"")</f>
        <v>48395</v>
      </c>
      <c r="S164" s="85">
        <f t="shared" si="26"/>
        <v>248673.96113433663</v>
      </c>
      <c r="T164" s="85">
        <f t="shared" si="19"/>
        <v>725.3</v>
      </c>
      <c r="U164" s="85">
        <f t="shared" si="20"/>
        <v>1001.8513173952506</v>
      </c>
      <c r="V164" s="85">
        <f t="shared" si="21"/>
        <v>0</v>
      </c>
      <c r="W164" s="85">
        <f t="shared" si="22"/>
        <v>1727.1513173952505</v>
      </c>
      <c r="X164" s="85">
        <f t="shared" si="23"/>
        <v>247672.10981694137</v>
      </c>
      <c r="Y164" s="85">
        <f t="shared" si="27"/>
        <v>99567.359999999971</v>
      </c>
    </row>
    <row r="165" spans="8:25">
      <c r="H165" s="93">
        <v>115</v>
      </c>
      <c r="I165" s="92">
        <f>IFERROR(EOMONTH(DATE($C$10,$C$9,1),115-1),"")</f>
        <v>48426</v>
      </c>
      <c r="J165" s="91">
        <f t="shared" si="24"/>
        <v>233797.7477140112</v>
      </c>
      <c r="K165" s="91">
        <f t="shared" si="14"/>
        <v>391.61</v>
      </c>
      <c r="L165" s="91">
        <f t="shared" si="15"/>
        <v>1072.3676516314858</v>
      </c>
      <c r="M165" s="91">
        <f t="shared" si="16"/>
        <v>0</v>
      </c>
      <c r="N165" s="91">
        <f t="shared" si="17"/>
        <v>1463.977651631486</v>
      </c>
      <c r="O165" s="91">
        <f t="shared" si="18"/>
        <v>232725.38006237973</v>
      </c>
      <c r="P165" s="91">
        <f t="shared" si="25"/>
        <v>56082.810000000019</v>
      </c>
      <c r="Q165" s="90">
        <v>115</v>
      </c>
      <c r="R165" s="89">
        <f>IFERROR(EOMONTH(DATE($F$10,$F$9,1),115-1),"")</f>
        <v>48426</v>
      </c>
      <c r="S165" s="88">
        <f t="shared" si="26"/>
        <v>247672.10981694137</v>
      </c>
      <c r="T165" s="88">
        <f t="shared" si="19"/>
        <v>722.38</v>
      </c>
      <c r="U165" s="88">
        <f t="shared" si="20"/>
        <v>1004.7713173952505</v>
      </c>
      <c r="V165" s="88">
        <f t="shared" si="21"/>
        <v>0</v>
      </c>
      <c r="W165" s="88">
        <f t="shared" si="22"/>
        <v>1727.1513173952505</v>
      </c>
      <c r="X165" s="88">
        <f t="shared" si="23"/>
        <v>246667.33849954614</v>
      </c>
      <c r="Y165" s="88">
        <f t="shared" si="27"/>
        <v>100289.73999999998</v>
      </c>
    </row>
    <row r="166" spans="8:25">
      <c r="H166" s="87">
        <v>116</v>
      </c>
      <c r="I166" s="86">
        <f>IFERROR(EOMONTH(DATE($C$10,$C$9,1),116-1),"")</f>
        <v>48457</v>
      </c>
      <c r="J166" s="85">
        <f t="shared" si="24"/>
        <v>232725.38006237973</v>
      </c>
      <c r="K166" s="85">
        <f t="shared" si="14"/>
        <v>389.82</v>
      </c>
      <c r="L166" s="85">
        <f t="shared" si="15"/>
        <v>1074.157651631486</v>
      </c>
      <c r="M166" s="85">
        <f t="shared" si="16"/>
        <v>0</v>
      </c>
      <c r="N166" s="85">
        <f t="shared" si="17"/>
        <v>1463.977651631486</v>
      </c>
      <c r="O166" s="85">
        <f t="shared" si="18"/>
        <v>231651.22241074825</v>
      </c>
      <c r="P166" s="85">
        <f t="shared" si="25"/>
        <v>56472.630000000019</v>
      </c>
      <c r="Q166" s="87">
        <v>116</v>
      </c>
      <c r="R166" s="86">
        <f>IFERROR(EOMONTH(DATE($F$10,$F$9,1),116-1),"")</f>
        <v>48457</v>
      </c>
      <c r="S166" s="85">
        <f t="shared" si="26"/>
        <v>246667.33849954614</v>
      </c>
      <c r="T166" s="85">
        <f t="shared" si="19"/>
        <v>719.45</v>
      </c>
      <c r="U166" s="85">
        <f t="shared" si="20"/>
        <v>1007.7013173952505</v>
      </c>
      <c r="V166" s="85">
        <f t="shared" si="21"/>
        <v>0</v>
      </c>
      <c r="W166" s="85">
        <f t="shared" si="22"/>
        <v>1727.1513173952505</v>
      </c>
      <c r="X166" s="85">
        <f t="shared" si="23"/>
        <v>245659.63718215088</v>
      </c>
      <c r="Y166" s="85">
        <f t="shared" si="27"/>
        <v>101009.18999999997</v>
      </c>
    </row>
    <row r="167" spans="8:25">
      <c r="H167" s="93">
        <v>117</v>
      </c>
      <c r="I167" s="92">
        <f>IFERROR(EOMONTH(DATE($C$10,$C$9,1),117-1),"")</f>
        <v>48487</v>
      </c>
      <c r="J167" s="91">
        <f t="shared" si="24"/>
        <v>231651.22241074825</v>
      </c>
      <c r="K167" s="91">
        <f t="shared" si="14"/>
        <v>388.02</v>
      </c>
      <c r="L167" s="91">
        <f t="shared" si="15"/>
        <v>1075.957651631486</v>
      </c>
      <c r="M167" s="91">
        <f t="shared" si="16"/>
        <v>0</v>
      </c>
      <c r="N167" s="91">
        <f t="shared" si="17"/>
        <v>1463.977651631486</v>
      </c>
      <c r="O167" s="91">
        <f t="shared" si="18"/>
        <v>230575.26475911675</v>
      </c>
      <c r="P167" s="91">
        <f t="shared" si="25"/>
        <v>56860.650000000016</v>
      </c>
      <c r="Q167" s="90">
        <v>117</v>
      </c>
      <c r="R167" s="89">
        <f>IFERROR(EOMONTH(DATE($F$10,$F$9,1),117-1),"")</f>
        <v>48487</v>
      </c>
      <c r="S167" s="88">
        <f t="shared" si="26"/>
        <v>245659.63718215088</v>
      </c>
      <c r="T167" s="88">
        <f t="shared" si="19"/>
        <v>716.51</v>
      </c>
      <c r="U167" s="88">
        <f t="shared" si="20"/>
        <v>1010.6413173952506</v>
      </c>
      <c r="V167" s="88">
        <f t="shared" si="21"/>
        <v>0</v>
      </c>
      <c r="W167" s="88">
        <f t="shared" si="22"/>
        <v>1727.1513173952505</v>
      </c>
      <c r="X167" s="88">
        <f t="shared" si="23"/>
        <v>244648.99586475562</v>
      </c>
      <c r="Y167" s="88">
        <f t="shared" si="27"/>
        <v>101725.69999999997</v>
      </c>
    </row>
    <row r="168" spans="8:25">
      <c r="H168" s="87">
        <v>118</v>
      </c>
      <c r="I168" s="86">
        <f>IFERROR(EOMONTH(DATE($C$10,$C$9,1),118-1),"")</f>
        <v>48518</v>
      </c>
      <c r="J168" s="85">
        <f t="shared" si="24"/>
        <v>230575.26475911675</v>
      </c>
      <c r="K168" s="85">
        <f t="shared" si="14"/>
        <v>386.21</v>
      </c>
      <c r="L168" s="85">
        <f t="shared" si="15"/>
        <v>1077.7676516314859</v>
      </c>
      <c r="M168" s="85">
        <f t="shared" si="16"/>
        <v>0</v>
      </c>
      <c r="N168" s="85">
        <f t="shared" si="17"/>
        <v>1463.977651631486</v>
      </c>
      <c r="O168" s="85">
        <f t="shared" si="18"/>
        <v>229497.49710748525</v>
      </c>
      <c r="P168" s="85">
        <f t="shared" si="25"/>
        <v>57246.860000000015</v>
      </c>
      <c r="Q168" s="87">
        <v>118</v>
      </c>
      <c r="R168" s="86">
        <f>IFERROR(EOMONTH(DATE($F$10,$F$9,1),118-1),"")</f>
        <v>48518</v>
      </c>
      <c r="S168" s="85">
        <f t="shared" si="26"/>
        <v>244648.99586475562</v>
      </c>
      <c r="T168" s="85">
        <f t="shared" si="19"/>
        <v>713.56</v>
      </c>
      <c r="U168" s="85">
        <f t="shared" si="20"/>
        <v>1013.5913173952506</v>
      </c>
      <c r="V168" s="85">
        <f t="shared" si="21"/>
        <v>0</v>
      </c>
      <c r="W168" s="85">
        <f t="shared" si="22"/>
        <v>1727.1513173952505</v>
      </c>
      <c r="X168" s="85">
        <f t="shared" si="23"/>
        <v>243635.40454736038</v>
      </c>
      <c r="Y168" s="85">
        <f t="shared" si="27"/>
        <v>102439.25999999997</v>
      </c>
    </row>
    <row r="169" spans="8:25">
      <c r="H169" s="93">
        <v>119</v>
      </c>
      <c r="I169" s="92">
        <f>IFERROR(EOMONTH(DATE($C$10,$C$9,1),119-1),"")</f>
        <v>48548</v>
      </c>
      <c r="J169" s="91">
        <f t="shared" si="24"/>
        <v>229497.49710748525</v>
      </c>
      <c r="K169" s="91">
        <f t="shared" si="14"/>
        <v>384.41</v>
      </c>
      <c r="L169" s="91">
        <f t="shared" si="15"/>
        <v>1079.5676516314859</v>
      </c>
      <c r="M169" s="91">
        <f t="shared" si="16"/>
        <v>0</v>
      </c>
      <c r="N169" s="91">
        <f t="shared" si="17"/>
        <v>1463.977651631486</v>
      </c>
      <c r="O169" s="91">
        <f t="shared" si="18"/>
        <v>228417.92945585377</v>
      </c>
      <c r="P169" s="91">
        <f t="shared" si="25"/>
        <v>57631.270000000019</v>
      </c>
      <c r="Q169" s="90">
        <v>119</v>
      </c>
      <c r="R169" s="89">
        <f>IFERROR(EOMONTH(DATE($F$10,$F$9,1),119-1),"")</f>
        <v>48548</v>
      </c>
      <c r="S169" s="88">
        <f t="shared" si="26"/>
        <v>243635.40454736038</v>
      </c>
      <c r="T169" s="88">
        <f t="shared" si="19"/>
        <v>710.6</v>
      </c>
      <c r="U169" s="88">
        <f t="shared" si="20"/>
        <v>1016.5513173952505</v>
      </c>
      <c r="V169" s="88">
        <f t="shared" si="21"/>
        <v>0</v>
      </c>
      <c r="W169" s="88">
        <f t="shared" si="22"/>
        <v>1727.1513173952505</v>
      </c>
      <c r="X169" s="88">
        <f t="shared" si="23"/>
        <v>242618.85322996511</v>
      </c>
      <c r="Y169" s="88">
        <f t="shared" si="27"/>
        <v>103149.85999999997</v>
      </c>
    </row>
    <row r="170" spans="8:25">
      <c r="H170" s="87">
        <v>120</v>
      </c>
      <c r="I170" s="86">
        <f>IFERROR(EOMONTH(DATE($C$10,$C$9,1),120-1),"")</f>
        <v>48579</v>
      </c>
      <c r="J170" s="85">
        <f t="shared" si="24"/>
        <v>228417.92945585377</v>
      </c>
      <c r="K170" s="85">
        <f t="shared" si="14"/>
        <v>382.6</v>
      </c>
      <c r="L170" s="85">
        <f t="shared" si="15"/>
        <v>1081.3776516314861</v>
      </c>
      <c r="M170" s="85">
        <f t="shared" si="16"/>
        <v>0</v>
      </c>
      <c r="N170" s="85">
        <f t="shared" si="17"/>
        <v>1463.977651631486</v>
      </c>
      <c r="O170" s="85">
        <f t="shared" si="18"/>
        <v>227336.55180422228</v>
      </c>
      <c r="P170" s="85">
        <f t="shared" si="25"/>
        <v>58013.870000000017</v>
      </c>
      <c r="Q170" s="87">
        <v>120</v>
      </c>
      <c r="R170" s="86">
        <f>IFERROR(EOMONTH(DATE($F$10,$F$9,1),120-1),"")</f>
        <v>48579</v>
      </c>
      <c r="S170" s="85">
        <f t="shared" si="26"/>
        <v>242618.85322996511</v>
      </c>
      <c r="T170" s="85">
        <f t="shared" si="19"/>
        <v>707.64</v>
      </c>
      <c r="U170" s="85">
        <f t="shared" si="20"/>
        <v>1019.5113173952506</v>
      </c>
      <c r="V170" s="85">
        <f t="shared" si="21"/>
        <v>0</v>
      </c>
      <c r="W170" s="85">
        <f t="shared" si="22"/>
        <v>1727.1513173952505</v>
      </c>
      <c r="X170" s="85">
        <f t="shared" si="23"/>
        <v>241599.34191256986</v>
      </c>
      <c r="Y170" s="85">
        <f t="shared" si="27"/>
        <v>103857.49999999997</v>
      </c>
    </row>
    <row r="171" spans="8:25">
      <c r="H171" s="93">
        <v>121</v>
      </c>
      <c r="I171" s="92">
        <f>IFERROR(EOMONTH(DATE($C$10,$C$9,1),121-1),"")</f>
        <v>48610</v>
      </c>
      <c r="J171" s="91">
        <f t="shared" si="24"/>
        <v>227336.55180422228</v>
      </c>
      <c r="K171" s="91">
        <f t="shared" si="14"/>
        <v>380.79</v>
      </c>
      <c r="L171" s="91">
        <f t="shared" si="15"/>
        <v>1083.187651631486</v>
      </c>
      <c r="M171" s="91">
        <f t="shared" si="16"/>
        <v>0</v>
      </c>
      <c r="N171" s="91">
        <f t="shared" si="17"/>
        <v>1463.977651631486</v>
      </c>
      <c r="O171" s="91">
        <f t="shared" si="18"/>
        <v>226253.3641525908</v>
      </c>
      <c r="P171" s="91">
        <f t="shared" si="25"/>
        <v>58394.660000000018</v>
      </c>
      <c r="Q171" s="90">
        <v>121</v>
      </c>
      <c r="R171" s="89">
        <f>IFERROR(EOMONTH(DATE($F$10,$F$9,1),121-1),"")</f>
        <v>48610</v>
      </c>
      <c r="S171" s="88">
        <f t="shared" si="26"/>
        <v>241599.34191256986</v>
      </c>
      <c r="T171" s="88">
        <f t="shared" si="19"/>
        <v>704.66</v>
      </c>
      <c r="U171" s="88">
        <f t="shared" si="20"/>
        <v>1022.4913173952506</v>
      </c>
      <c r="V171" s="88">
        <f t="shared" si="21"/>
        <v>0</v>
      </c>
      <c r="W171" s="88">
        <f t="shared" si="22"/>
        <v>1727.1513173952505</v>
      </c>
      <c r="X171" s="88">
        <f t="shared" si="23"/>
        <v>240576.85059517462</v>
      </c>
      <c r="Y171" s="88">
        <f t="shared" si="27"/>
        <v>104562.15999999997</v>
      </c>
    </row>
    <row r="172" spans="8:25">
      <c r="H172" s="87">
        <v>122</v>
      </c>
      <c r="I172" s="86">
        <f>IFERROR(EOMONTH(DATE($C$10,$C$9,1),122-1),"")</f>
        <v>48638</v>
      </c>
      <c r="J172" s="85">
        <f t="shared" si="24"/>
        <v>226253.3641525908</v>
      </c>
      <c r="K172" s="85">
        <f t="shared" si="14"/>
        <v>378.97</v>
      </c>
      <c r="L172" s="85">
        <f t="shared" si="15"/>
        <v>1085.0076516314859</v>
      </c>
      <c r="M172" s="85">
        <f t="shared" si="16"/>
        <v>0</v>
      </c>
      <c r="N172" s="85">
        <f t="shared" si="17"/>
        <v>1463.977651631486</v>
      </c>
      <c r="O172" s="85">
        <f t="shared" si="18"/>
        <v>225168.35650095931</v>
      </c>
      <c r="P172" s="85">
        <f t="shared" si="25"/>
        <v>58773.630000000019</v>
      </c>
      <c r="Q172" s="87">
        <v>122</v>
      </c>
      <c r="R172" s="86">
        <f>IFERROR(EOMONTH(DATE($F$10,$F$9,1),122-1),"")</f>
        <v>48638</v>
      </c>
      <c r="S172" s="85">
        <f t="shared" si="26"/>
        <v>240576.85059517462</v>
      </c>
      <c r="T172" s="85">
        <f t="shared" si="19"/>
        <v>701.68</v>
      </c>
      <c r="U172" s="85">
        <f t="shared" si="20"/>
        <v>1025.4713173952505</v>
      </c>
      <c r="V172" s="85">
        <f t="shared" si="21"/>
        <v>0</v>
      </c>
      <c r="W172" s="85">
        <f t="shared" si="22"/>
        <v>1727.1513173952503</v>
      </c>
      <c r="X172" s="85">
        <f t="shared" si="23"/>
        <v>239551.37927777937</v>
      </c>
      <c r="Y172" s="85">
        <f t="shared" si="27"/>
        <v>105263.83999999997</v>
      </c>
    </row>
    <row r="173" spans="8:25">
      <c r="H173" s="93">
        <v>123</v>
      </c>
      <c r="I173" s="92">
        <f>IFERROR(EOMONTH(DATE($C$10,$C$9,1),123-1),"")</f>
        <v>48669</v>
      </c>
      <c r="J173" s="91">
        <f t="shared" si="24"/>
        <v>225168.35650095931</v>
      </c>
      <c r="K173" s="91">
        <f t="shared" si="14"/>
        <v>377.16</v>
      </c>
      <c r="L173" s="91">
        <f t="shared" si="15"/>
        <v>1086.8176516314859</v>
      </c>
      <c r="M173" s="91">
        <f t="shared" si="16"/>
        <v>0</v>
      </c>
      <c r="N173" s="91">
        <f t="shared" si="17"/>
        <v>1463.977651631486</v>
      </c>
      <c r="O173" s="91">
        <f t="shared" si="18"/>
        <v>224081.53884932783</v>
      </c>
      <c r="P173" s="91">
        <f t="shared" si="25"/>
        <v>59150.790000000023</v>
      </c>
      <c r="Q173" s="90">
        <v>123</v>
      </c>
      <c r="R173" s="89">
        <f>IFERROR(EOMONTH(DATE($F$10,$F$9,1),123-1),"")</f>
        <v>48669</v>
      </c>
      <c r="S173" s="88">
        <f t="shared" si="26"/>
        <v>239551.37927777937</v>
      </c>
      <c r="T173" s="88">
        <f t="shared" si="19"/>
        <v>698.69</v>
      </c>
      <c r="U173" s="88">
        <f t="shared" si="20"/>
        <v>1028.4613173952505</v>
      </c>
      <c r="V173" s="88">
        <f t="shared" si="21"/>
        <v>0</v>
      </c>
      <c r="W173" s="88">
        <f t="shared" si="22"/>
        <v>1727.1513173952505</v>
      </c>
      <c r="X173" s="88">
        <f t="shared" si="23"/>
        <v>238522.91796038413</v>
      </c>
      <c r="Y173" s="88">
        <f t="shared" si="27"/>
        <v>105962.52999999997</v>
      </c>
    </row>
    <row r="174" spans="8:25">
      <c r="H174" s="87">
        <v>124</v>
      </c>
      <c r="I174" s="86">
        <f>IFERROR(EOMONTH(DATE($C$10,$C$9,1),124-1),"")</f>
        <v>48699</v>
      </c>
      <c r="J174" s="85">
        <f t="shared" si="24"/>
        <v>224081.53884932783</v>
      </c>
      <c r="K174" s="85">
        <f t="shared" si="14"/>
        <v>375.34</v>
      </c>
      <c r="L174" s="85">
        <f t="shared" si="15"/>
        <v>1088.6376516314861</v>
      </c>
      <c r="M174" s="85">
        <f t="shared" si="16"/>
        <v>0</v>
      </c>
      <c r="N174" s="85">
        <f t="shared" si="17"/>
        <v>1463.977651631486</v>
      </c>
      <c r="O174" s="85">
        <f t="shared" si="18"/>
        <v>222992.90119769634</v>
      </c>
      <c r="P174" s="85">
        <f t="shared" si="25"/>
        <v>59526.130000000019</v>
      </c>
      <c r="Q174" s="87">
        <v>124</v>
      </c>
      <c r="R174" s="86">
        <f>IFERROR(EOMONTH(DATE($F$10,$F$9,1),124-1),"")</f>
        <v>48699</v>
      </c>
      <c r="S174" s="85">
        <f t="shared" si="26"/>
        <v>238522.91796038413</v>
      </c>
      <c r="T174" s="85">
        <f t="shared" si="19"/>
        <v>695.69</v>
      </c>
      <c r="U174" s="85">
        <f t="shared" si="20"/>
        <v>1031.4613173952505</v>
      </c>
      <c r="V174" s="85">
        <f t="shared" si="21"/>
        <v>0</v>
      </c>
      <c r="W174" s="85">
        <f t="shared" si="22"/>
        <v>1727.1513173952505</v>
      </c>
      <c r="X174" s="85">
        <f t="shared" si="23"/>
        <v>237491.45664298889</v>
      </c>
      <c r="Y174" s="85">
        <f t="shared" si="27"/>
        <v>106658.21999999997</v>
      </c>
    </row>
    <row r="175" spans="8:25">
      <c r="H175" s="93">
        <v>125</v>
      </c>
      <c r="I175" s="92">
        <f>IFERROR(EOMONTH(DATE($C$10,$C$9,1),125-1),"")</f>
        <v>48730</v>
      </c>
      <c r="J175" s="91">
        <f t="shared" si="24"/>
        <v>222992.90119769634</v>
      </c>
      <c r="K175" s="91">
        <f t="shared" si="14"/>
        <v>373.51</v>
      </c>
      <c r="L175" s="91">
        <f t="shared" si="15"/>
        <v>1090.467651631486</v>
      </c>
      <c r="M175" s="91">
        <f t="shared" si="16"/>
        <v>0</v>
      </c>
      <c r="N175" s="91">
        <f t="shared" si="17"/>
        <v>1463.977651631486</v>
      </c>
      <c r="O175" s="91">
        <f t="shared" si="18"/>
        <v>221902.43354606486</v>
      </c>
      <c r="P175" s="91">
        <f t="shared" si="25"/>
        <v>59899.640000000021</v>
      </c>
      <c r="Q175" s="90">
        <v>125</v>
      </c>
      <c r="R175" s="89">
        <f>IFERROR(EOMONTH(DATE($F$10,$F$9,1),125-1),"")</f>
        <v>48730</v>
      </c>
      <c r="S175" s="88">
        <f t="shared" si="26"/>
        <v>237491.45664298889</v>
      </c>
      <c r="T175" s="88">
        <f t="shared" si="19"/>
        <v>692.68</v>
      </c>
      <c r="U175" s="88">
        <f t="shared" si="20"/>
        <v>1034.4713173952505</v>
      </c>
      <c r="V175" s="88">
        <f t="shared" si="21"/>
        <v>0</v>
      </c>
      <c r="W175" s="88">
        <f t="shared" si="22"/>
        <v>1727.1513173952503</v>
      </c>
      <c r="X175" s="88">
        <f t="shared" si="23"/>
        <v>236456.98532559365</v>
      </c>
      <c r="Y175" s="88">
        <f t="shared" si="27"/>
        <v>107350.89999999997</v>
      </c>
    </row>
    <row r="176" spans="8:25">
      <c r="H176" s="87">
        <v>126</v>
      </c>
      <c r="I176" s="86">
        <f>IFERROR(EOMONTH(DATE($C$10,$C$9,1),126-1),"")</f>
        <v>48760</v>
      </c>
      <c r="J176" s="85">
        <f t="shared" si="24"/>
        <v>221902.43354606486</v>
      </c>
      <c r="K176" s="85">
        <f t="shared" si="14"/>
        <v>371.69</v>
      </c>
      <c r="L176" s="85">
        <f t="shared" si="15"/>
        <v>1092.2876516314859</v>
      </c>
      <c r="M176" s="85">
        <f t="shared" si="16"/>
        <v>0</v>
      </c>
      <c r="N176" s="85">
        <f t="shared" si="17"/>
        <v>1463.977651631486</v>
      </c>
      <c r="O176" s="85">
        <f t="shared" si="18"/>
        <v>220810.14589443337</v>
      </c>
      <c r="P176" s="85">
        <f t="shared" si="25"/>
        <v>60271.330000000024</v>
      </c>
      <c r="Q176" s="87">
        <v>126</v>
      </c>
      <c r="R176" s="86">
        <f>IFERROR(EOMONTH(DATE($F$10,$F$9,1),126-1),"")</f>
        <v>48760</v>
      </c>
      <c r="S176" s="85">
        <f t="shared" si="26"/>
        <v>236456.98532559365</v>
      </c>
      <c r="T176" s="85">
        <f t="shared" si="19"/>
        <v>689.67</v>
      </c>
      <c r="U176" s="85">
        <f t="shared" si="20"/>
        <v>1037.4813173952507</v>
      </c>
      <c r="V176" s="85">
        <f t="shared" si="21"/>
        <v>0</v>
      </c>
      <c r="W176" s="85">
        <f t="shared" si="22"/>
        <v>1727.1513173952508</v>
      </c>
      <c r="X176" s="85">
        <f t="shared" si="23"/>
        <v>235419.50400819839</v>
      </c>
      <c r="Y176" s="85">
        <f t="shared" si="27"/>
        <v>108040.56999999996</v>
      </c>
    </row>
    <row r="177" spans="8:25">
      <c r="H177" s="93">
        <v>127</v>
      </c>
      <c r="I177" s="92">
        <f>IFERROR(EOMONTH(DATE($C$10,$C$9,1),127-1),"")</f>
        <v>48791</v>
      </c>
      <c r="J177" s="91">
        <f t="shared" si="24"/>
        <v>220810.14589443337</v>
      </c>
      <c r="K177" s="91">
        <f t="shared" si="14"/>
        <v>369.86</v>
      </c>
      <c r="L177" s="91">
        <f t="shared" si="15"/>
        <v>1094.1176516314858</v>
      </c>
      <c r="M177" s="91">
        <f t="shared" si="16"/>
        <v>0</v>
      </c>
      <c r="N177" s="91">
        <f t="shared" si="17"/>
        <v>1463.977651631486</v>
      </c>
      <c r="O177" s="91">
        <f t="shared" si="18"/>
        <v>219716.0282428019</v>
      </c>
      <c r="P177" s="91">
        <f t="shared" si="25"/>
        <v>60641.190000000024</v>
      </c>
      <c r="Q177" s="90">
        <v>127</v>
      </c>
      <c r="R177" s="89">
        <f>IFERROR(EOMONTH(DATE($F$10,$F$9,1),127-1),"")</f>
        <v>48791</v>
      </c>
      <c r="S177" s="88">
        <f t="shared" si="26"/>
        <v>235419.50400819839</v>
      </c>
      <c r="T177" s="88">
        <f t="shared" si="19"/>
        <v>686.64</v>
      </c>
      <c r="U177" s="88">
        <f t="shared" si="20"/>
        <v>1040.5113173952504</v>
      </c>
      <c r="V177" s="88">
        <f t="shared" si="21"/>
        <v>0</v>
      </c>
      <c r="W177" s="88">
        <f t="shared" si="22"/>
        <v>1727.1513173952503</v>
      </c>
      <c r="X177" s="88">
        <f t="shared" si="23"/>
        <v>234378.99269080313</v>
      </c>
      <c r="Y177" s="88">
        <f t="shared" si="27"/>
        <v>108727.20999999996</v>
      </c>
    </row>
    <row r="178" spans="8:25">
      <c r="H178" s="87">
        <v>128</v>
      </c>
      <c r="I178" s="86">
        <f>IFERROR(EOMONTH(DATE($C$10,$C$9,1),128-1),"")</f>
        <v>48822</v>
      </c>
      <c r="J178" s="85">
        <f t="shared" si="24"/>
        <v>219716.0282428019</v>
      </c>
      <c r="K178" s="85">
        <f t="shared" si="14"/>
        <v>368.02</v>
      </c>
      <c r="L178" s="85">
        <f t="shared" si="15"/>
        <v>1095.957651631486</v>
      </c>
      <c r="M178" s="85">
        <f t="shared" si="16"/>
        <v>0</v>
      </c>
      <c r="N178" s="85">
        <f t="shared" si="17"/>
        <v>1463.977651631486</v>
      </c>
      <c r="O178" s="85">
        <f t="shared" si="18"/>
        <v>218620.0705911704</v>
      </c>
      <c r="P178" s="85">
        <f t="shared" si="25"/>
        <v>61009.210000000021</v>
      </c>
      <c r="Q178" s="87">
        <v>128</v>
      </c>
      <c r="R178" s="86">
        <f>IFERROR(EOMONTH(DATE($F$10,$F$9,1),128-1),"")</f>
        <v>48822</v>
      </c>
      <c r="S178" s="85">
        <f t="shared" si="26"/>
        <v>234378.99269080313</v>
      </c>
      <c r="T178" s="85">
        <f t="shared" si="19"/>
        <v>683.61</v>
      </c>
      <c r="U178" s="85">
        <f t="shared" si="20"/>
        <v>1043.5413173952506</v>
      </c>
      <c r="V178" s="85">
        <f t="shared" si="21"/>
        <v>0</v>
      </c>
      <c r="W178" s="85">
        <f t="shared" si="22"/>
        <v>1727.1513173952508</v>
      </c>
      <c r="X178" s="85">
        <f t="shared" si="23"/>
        <v>233335.45137340788</v>
      </c>
      <c r="Y178" s="85">
        <f t="shared" si="27"/>
        <v>109410.81999999996</v>
      </c>
    </row>
    <row r="179" spans="8:25">
      <c r="H179" s="93">
        <v>129</v>
      </c>
      <c r="I179" s="92">
        <f>IFERROR(EOMONTH(DATE($C$10,$C$9,1),129-1),"")</f>
        <v>48852</v>
      </c>
      <c r="J179" s="91">
        <f t="shared" si="24"/>
        <v>218620.0705911704</v>
      </c>
      <c r="K179" s="91">
        <f t="shared" ref="K179:K242" si="28">IF(J179&lt;=0,0,ROUND(J179*$C$7/12,2))</f>
        <v>366.19</v>
      </c>
      <c r="L179" s="91">
        <f t="shared" ref="L179:L242" si="29">IF(J179&lt;=0,0,IF(UPPER(TRIM($C$11))="INTEREST ONLY",0,MAX(0,MIN(J179,$C$17-K179))))</f>
        <v>1097.7876516314859</v>
      </c>
      <c r="M179" s="91">
        <f t="shared" ref="M179:M242" si="30">IF(J179&lt;=0,0,MIN(J179-L179,$C$12+IF(H179=$C$14,$C$13,0)))</f>
        <v>0</v>
      </c>
      <c r="N179" s="91">
        <f t="shared" ref="N179:N242" si="31">K179+L179+M179</f>
        <v>1463.977651631486</v>
      </c>
      <c r="O179" s="91">
        <f t="shared" ref="O179:O242" si="32">MAX(0,J179-L179-M179)</f>
        <v>217522.28293953891</v>
      </c>
      <c r="P179" s="91">
        <f t="shared" si="25"/>
        <v>61375.400000000023</v>
      </c>
      <c r="Q179" s="90">
        <v>129</v>
      </c>
      <c r="R179" s="89">
        <f>IFERROR(EOMONTH(DATE($F$10,$F$9,1),129-1),"")</f>
        <v>48852</v>
      </c>
      <c r="S179" s="88">
        <f t="shared" si="26"/>
        <v>233335.45137340788</v>
      </c>
      <c r="T179" s="88">
        <f t="shared" ref="T179:T242" si="33">IF(S179&lt;=0,0,ROUND(S179*$F$7/12,2))</f>
        <v>680.56</v>
      </c>
      <c r="U179" s="88">
        <f t="shared" ref="U179:U242" si="34">IF(S179&lt;=0,0,IF(UPPER(TRIM($F$11))="INTEREST ONLY",0,MAX(0,MIN(S179,$F$17-T179))))</f>
        <v>1046.5913173952506</v>
      </c>
      <c r="V179" s="88">
        <f t="shared" ref="V179:V242" si="35">IF(S179&lt;=0,0,MIN(S179-U179,$F$12+IF(Q179=$F$14,$F$13,0)))</f>
        <v>0</v>
      </c>
      <c r="W179" s="88">
        <f t="shared" ref="W179:W242" si="36">T179+U179+V179</f>
        <v>1727.1513173952505</v>
      </c>
      <c r="X179" s="88">
        <f t="shared" ref="X179:X242" si="37">MAX(0,S179-U179-V179)</f>
        <v>232288.86005601264</v>
      </c>
      <c r="Y179" s="88">
        <f t="shared" si="27"/>
        <v>110091.37999999996</v>
      </c>
    </row>
    <row r="180" spans="8:25">
      <c r="H180" s="87">
        <v>130</v>
      </c>
      <c r="I180" s="86">
        <f>IFERROR(EOMONTH(DATE($C$10,$C$9,1),130-1),"")</f>
        <v>48883</v>
      </c>
      <c r="J180" s="85">
        <f t="shared" ref="J180:J243" si="38">IF(O179&lt;=0,0,O179)</f>
        <v>217522.28293953891</v>
      </c>
      <c r="K180" s="85">
        <f t="shared" si="28"/>
        <v>364.35</v>
      </c>
      <c r="L180" s="85">
        <f t="shared" si="29"/>
        <v>1099.6276516314861</v>
      </c>
      <c r="M180" s="85">
        <f t="shared" si="30"/>
        <v>0</v>
      </c>
      <c r="N180" s="85">
        <f t="shared" si="31"/>
        <v>1463.977651631486</v>
      </c>
      <c r="O180" s="85">
        <f t="shared" si="32"/>
        <v>216422.65528790743</v>
      </c>
      <c r="P180" s="85">
        <f t="shared" ref="P180:P243" si="39">P179+K180</f>
        <v>61739.750000000022</v>
      </c>
      <c r="Q180" s="87">
        <v>130</v>
      </c>
      <c r="R180" s="86">
        <f>IFERROR(EOMONTH(DATE($F$10,$F$9,1),130-1),"")</f>
        <v>48883</v>
      </c>
      <c r="S180" s="85">
        <f t="shared" ref="S180:S243" si="40">IF(X179&lt;=0,0,X179)</f>
        <v>232288.86005601264</v>
      </c>
      <c r="T180" s="85">
        <f t="shared" si="33"/>
        <v>677.51</v>
      </c>
      <c r="U180" s="85">
        <f t="shared" si="34"/>
        <v>1049.6413173952506</v>
      </c>
      <c r="V180" s="85">
        <f t="shared" si="35"/>
        <v>0</v>
      </c>
      <c r="W180" s="85">
        <f t="shared" si="36"/>
        <v>1727.1513173952505</v>
      </c>
      <c r="X180" s="85">
        <f t="shared" si="37"/>
        <v>231239.21873861738</v>
      </c>
      <c r="Y180" s="85">
        <f t="shared" ref="Y180:Y243" si="41">Y179+T180</f>
        <v>110768.88999999996</v>
      </c>
    </row>
    <row r="181" spans="8:25">
      <c r="H181" s="93">
        <v>131</v>
      </c>
      <c r="I181" s="92">
        <f>IFERROR(EOMONTH(DATE($C$10,$C$9,1),131-1),"")</f>
        <v>48913</v>
      </c>
      <c r="J181" s="91">
        <f t="shared" si="38"/>
        <v>216422.65528790743</v>
      </c>
      <c r="K181" s="91">
        <f t="shared" si="28"/>
        <v>362.51</v>
      </c>
      <c r="L181" s="91">
        <f t="shared" si="29"/>
        <v>1101.467651631486</v>
      </c>
      <c r="M181" s="91">
        <f t="shared" si="30"/>
        <v>0</v>
      </c>
      <c r="N181" s="91">
        <f t="shared" si="31"/>
        <v>1463.977651631486</v>
      </c>
      <c r="O181" s="91">
        <f t="shared" si="32"/>
        <v>215321.18763627595</v>
      </c>
      <c r="P181" s="91">
        <f t="shared" si="39"/>
        <v>62102.260000000024</v>
      </c>
      <c r="Q181" s="90">
        <v>131</v>
      </c>
      <c r="R181" s="89">
        <f>IFERROR(EOMONTH(DATE($F$10,$F$9,1),131-1),"")</f>
        <v>48913</v>
      </c>
      <c r="S181" s="88">
        <f t="shared" si="40"/>
        <v>231239.21873861738</v>
      </c>
      <c r="T181" s="88">
        <f t="shared" si="33"/>
        <v>674.45</v>
      </c>
      <c r="U181" s="88">
        <f t="shared" si="34"/>
        <v>1052.7013173952505</v>
      </c>
      <c r="V181" s="88">
        <f t="shared" si="35"/>
        <v>0</v>
      </c>
      <c r="W181" s="88">
        <f t="shared" si="36"/>
        <v>1727.1513173952505</v>
      </c>
      <c r="X181" s="88">
        <f t="shared" si="37"/>
        <v>230186.51742122212</v>
      </c>
      <c r="Y181" s="88">
        <f t="shared" si="41"/>
        <v>111443.33999999995</v>
      </c>
    </row>
    <row r="182" spans="8:25">
      <c r="H182" s="87">
        <v>132</v>
      </c>
      <c r="I182" s="86">
        <f>IFERROR(EOMONTH(DATE($C$10,$C$9,1),132-1),"")</f>
        <v>48944</v>
      </c>
      <c r="J182" s="85">
        <f t="shared" si="38"/>
        <v>215321.18763627595</v>
      </c>
      <c r="K182" s="85">
        <f t="shared" si="28"/>
        <v>360.66</v>
      </c>
      <c r="L182" s="85">
        <f t="shared" si="29"/>
        <v>1103.3176516314859</v>
      </c>
      <c r="M182" s="85">
        <f t="shared" si="30"/>
        <v>0</v>
      </c>
      <c r="N182" s="85">
        <f t="shared" si="31"/>
        <v>1463.977651631486</v>
      </c>
      <c r="O182" s="85">
        <f t="shared" si="32"/>
        <v>214217.86998464447</v>
      </c>
      <c r="P182" s="85">
        <f t="shared" si="39"/>
        <v>62462.920000000027</v>
      </c>
      <c r="Q182" s="87">
        <v>132</v>
      </c>
      <c r="R182" s="86">
        <f>IFERROR(EOMONTH(DATE($F$10,$F$9,1),132-1),"")</f>
        <v>48944</v>
      </c>
      <c r="S182" s="85">
        <f t="shared" si="40"/>
        <v>230186.51742122212</v>
      </c>
      <c r="T182" s="85">
        <f t="shared" si="33"/>
        <v>671.38</v>
      </c>
      <c r="U182" s="85">
        <f t="shared" si="34"/>
        <v>1055.7713173952507</v>
      </c>
      <c r="V182" s="85">
        <f t="shared" si="35"/>
        <v>0</v>
      </c>
      <c r="W182" s="85">
        <f t="shared" si="36"/>
        <v>1727.1513173952508</v>
      </c>
      <c r="X182" s="85">
        <f t="shared" si="37"/>
        <v>229130.74610382685</v>
      </c>
      <c r="Y182" s="85">
        <f t="shared" si="41"/>
        <v>112114.71999999996</v>
      </c>
    </row>
    <row r="183" spans="8:25">
      <c r="H183" s="93">
        <v>133</v>
      </c>
      <c r="I183" s="92">
        <f>IFERROR(EOMONTH(DATE($C$10,$C$9,1),133-1),"")</f>
        <v>48975</v>
      </c>
      <c r="J183" s="91">
        <f t="shared" si="38"/>
        <v>214217.86998464447</v>
      </c>
      <c r="K183" s="91">
        <f t="shared" si="28"/>
        <v>358.81</v>
      </c>
      <c r="L183" s="91">
        <f t="shared" si="29"/>
        <v>1105.167651631486</v>
      </c>
      <c r="M183" s="91">
        <f t="shared" si="30"/>
        <v>0</v>
      </c>
      <c r="N183" s="91">
        <f t="shared" si="31"/>
        <v>1463.977651631486</v>
      </c>
      <c r="O183" s="91">
        <f t="shared" si="32"/>
        <v>213112.70233301297</v>
      </c>
      <c r="P183" s="91">
        <f t="shared" si="39"/>
        <v>62821.730000000025</v>
      </c>
      <c r="Q183" s="90">
        <v>133</v>
      </c>
      <c r="R183" s="89">
        <f>IFERROR(EOMONTH(DATE($F$10,$F$9,1),133-1),"")</f>
        <v>48975</v>
      </c>
      <c r="S183" s="88">
        <f t="shared" si="40"/>
        <v>229130.74610382685</v>
      </c>
      <c r="T183" s="88">
        <f t="shared" si="33"/>
        <v>668.3</v>
      </c>
      <c r="U183" s="88">
        <f t="shared" si="34"/>
        <v>1058.8513173952506</v>
      </c>
      <c r="V183" s="88">
        <f t="shared" si="35"/>
        <v>0</v>
      </c>
      <c r="W183" s="88">
        <f t="shared" si="36"/>
        <v>1727.1513173952505</v>
      </c>
      <c r="X183" s="88">
        <f t="shared" si="37"/>
        <v>228071.8947864316</v>
      </c>
      <c r="Y183" s="88">
        <f t="shared" si="41"/>
        <v>112783.01999999996</v>
      </c>
    </row>
    <row r="184" spans="8:25">
      <c r="H184" s="87">
        <v>134</v>
      </c>
      <c r="I184" s="86">
        <f>IFERROR(EOMONTH(DATE($C$10,$C$9,1),134-1),"")</f>
        <v>49003</v>
      </c>
      <c r="J184" s="85">
        <f t="shared" si="38"/>
        <v>213112.70233301297</v>
      </c>
      <c r="K184" s="85">
        <f t="shared" si="28"/>
        <v>356.96</v>
      </c>
      <c r="L184" s="85">
        <f t="shared" si="29"/>
        <v>1107.0176516314859</v>
      </c>
      <c r="M184" s="85">
        <f t="shared" si="30"/>
        <v>0</v>
      </c>
      <c r="N184" s="85">
        <f t="shared" si="31"/>
        <v>1463.977651631486</v>
      </c>
      <c r="O184" s="85">
        <f t="shared" si="32"/>
        <v>212005.68468138148</v>
      </c>
      <c r="P184" s="85">
        <f t="shared" si="39"/>
        <v>63178.690000000024</v>
      </c>
      <c r="Q184" s="87">
        <v>134</v>
      </c>
      <c r="R184" s="86">
        <f>IFERROR(EOMONTH(DATE($F$10,$F$9,1),134-1),"")</f>
        <v>49003</v>
      </c>
      <c r="S184" s="85">
        <f t="shared" si="40"/>
        <v>228071.8947864316</v>
      </c>
      <c r="T184" s="85">
        <f t="shared" si="33"/>
        <v>665.21</v>
      </c>
      <c r="U184" s="85">
        <f t="shared" si="34"/>
        <v>1061.9413173952505</v>
      </c>
      <c r="V184" s="85">
        <f t="shared" si="35"/>
        <v>0</v>
      </c>
      <c r="W184" s="85">
        <f t="shared" si="36"/>
        <v>1727.1513173952505</v>
      </c>
      <c r="X184" s="85">
        <f t="shared" si="37"/>
        <v>227009.95346903635</v>
      </c>
      <c r="Y184" s="85">
        <f t="shared" si="41"/>
        <v>113448.22999999997</v>
      </c>
    </row>
    <row r="185" spans="8:25">
      <c r="H185" s="93">
        <v>135</v>
      </c>
      <c r="I185" s="92">
        <f>IFERROR(EOMONTH(DATE($C$10,$C$9,1),135-1),"")</f>
        <v>49034</v>
      </c>
      <c r="J185" s="91">
        <f t="shared" si="38"/>
        <v>212005.68468138148</v>
      </c>
      <c r="K185" s="91">
        <f t="shared" si="28"/>
        <v>355.11</v>
      </c>
      <c r="L185" s="91">
        <f t="shared" si="29"/>
        <v>1108.8676516314858</v>
      </c>
      <c r="M185" s="91">
        <f t="shared" si="30"/>
        <v>0</v>
      </c>
      <c r="N185" s="91">
        <f t="shared" si="31"/>
        <v>1463.977651631486</v>
      </c>
      <c r="O185" s="91">
        <f t="shared" si="32"/>
        <v>210896.81702975</v>
      </c>
      <c r="P185" s="91">
        <f t="shared" si="39"/>
        <v>63533.800000000025</v>
      </c>
      <c r="Q185" s="90">
        <v>135</v>
      </c>
      <c r="R185" s="89">
        <f>IFERROR(EOMONTH(DATE($F$10,$F$9,1),135-1),"")</f>
        <v>49034</v>
      </c>
      <c r="S185" s="88">
        <f t="shared" si="40"/>
        <v>227009.95346903635</v>
      </c>
      <c r="T185" s="88">
        <f t="shared" si="33"/>
        <v>662.11</v>
      </c>
      <c r="U185" s="88">
        <f t="shared" si="34"/>
        <v>1065.0413173952506</v>
      </c>
      <c r="V185" s="88">
        <f t="shared" si="35"/>
        <v>0</v>
      </c>
      <c r="W185" s="88">
        <f t="shared" si="36"/>
        <v>1727.1513173952508</v>
      </c>
      <c r="X185" s="88">
        <f t="shared" si="37"/>
        <v>225944.9121516411</v>
      </c>
      <c r="Y185" s="88">
        <f t="shared" si="41"/>
        <v>114110.33999999997</v>
      </c>
    </row>
    <row r="186" spans="8:25">
      <c r="H186" s="87">
        <v>136</v>
      </c>
      <c r="I186" s="86">
        <f>IFERROR(EOMONTH(DATE($C$10,$C$9,1),136-1),"")</f>
        <v>49064</v>
      </c>
      <c r="J186" s="85">
        <f t="shared" si="38"/>
        <v>210896.81702975</v>
      </c>
      <c r="K186" s="85">
        <f t="shared" si="28"/>
        <v>353.25</v>
      </c>
      <c r="L186" s="85">
        <f t="shared" si="29"/>
        <v>1110.727651631486</v>
      </c>
      <c r="M186" s="85">
        <f t="shared" si="30"/>
        <v>0</v>
      </c>
      <c r="N186" s="85">
        <f t="shared" si="31"/>
        <v>1463.977651631486</v>
      </c>
      <c r="O186" s="85">
        <f t="shared" si="32"/>
        <v>209786.08937811852</v>
      </c>
      <c r="P186" s="85">
        <f t="shared" si="39"/>
        <v>63887.050000000025</v>
      </c>
      <c r="Q186" s="87">
        <v>136</v>
      </c>
      <c r="R186" s="86">
        <f>IFERROR(EOMONTH(DATE($F$10,$F$9,1),136-1),"")</f>
        <v>49064</v>
      </c>
      <c r="S186" s="85">
        <f t="shared" si="40"/>
        <v>225944.9121516411</v>
      </c>
      <c r="T186" s="85">
        <f t="shared" si="33"/>
        <v>659.01</v>
      </c>
      <c r="U186" s="85">
        <f t="shared" si="34"/>
        <v>1068.1413173952506</v>
      </c>
      <c r="V186" s="85">
        <f t="shared" si="35"/>
        <v>0</v>
      </c>
      <c r="W186" s="85">
        <f t="shared" si="36"/>
        <v>1727.1513173952505</v>
      </c>
      <c r="X186" s="85">
        <f t="shared" si="37"/>
        <v>224876.77083424584</v>
      </c>
      <c r="Y186" s="85">
        <f t="shared" si="41"/>
        <v>114769.34999999996</v>
      </c>
    </row>
    <row r="187" spans="8:25">
      <c r="H187" s="93">
        <v>137</v>
      </c>
      <c r="I187" s="92">
        <f>IFERROR(EOMONTH(DATE($C$10,$C$9,1),137-1),"")</f>
        <v>49095</v>
      </c>
      <c r="J187" s="91">
        <f t="shared" si="38"/>
        <v>209786.08937811852</v>
      </c>
      <c r="K187" s="91">
        <f t="shared" si="28"/>
        <v>351.39</v>
      </c>
      <c r="L187" s="91">
        <f t="shared" si="29"/>
        <v>1112.5876516314861</v>
      </c>
      <c r="M187" s="91">
        <f t="shared" si="30"/>
        <v>0</v>
      </c>
      <c r="N187" s="91">
        <f t="shared" si="31"/>
        <v>1463.977651631486</v>
      </c>
      <c r="O187" s="91">
        <f t="shared" si="32"/>
        <v>208673.50172648704</v>
      </c>
      <c r="P187" s="91">
        <f t="shared" si="39"/>
        <v>64238.440000000024</v>
      </c>
      <c r="Q187" s="90">
        <v>137</v>
      </c>
      <c r="R187" s="89">
        <f>IFERROR(EOMONTH(DATE($F$10,$F$9,1),137-1),"")</f>
        <v>49095</v>
      </c>
      <c r="S187" s="88">
        <f t="shared" si="40"/>
        <v>224876.77083424584</v>
      </c>
      <c r="T187" s="88">
        <f t="shared" si="33"/>
        <v>655.89</v>
      </c>
      <c r="U187" s="88">
        <f t="shared" si="34"/>
        <v>1071.2613173952504</v>
      </c>
      <c r="V187" s="88">
        <f t="shared" si="35"/>
        <v>0</v>
      </c>
      <c r="W187" s="88">
        <f t="shared" si="36"/>
        <v>1727.1513173952503</v>
      </c>
      <c r="X187" s="88">
        <f t="shared" si="37"/>
        <v>223805.50951685058</v>
      </c>
      <c r="Y187" s="88">
        <f t="shared" si="41"/>
        <v>115425.23999999996</v>
      </c>
    </row>
    <row r="188" spans="8:25">
      <c r="H188" s="87">
        <v>138</v>
      </c>
      <c r="I188" s="86">
        <f>IFERROR(EOMONTH(DATE($C$10,$C$9,1),138-1),"")</f>
        <v>49125</v>
      </c>
      <c r="J188" s="85">
        <f t="shared" si="38"/>
        <v>208673.50172648704</v>
      </c>
      <c r="K188" s="85">
        <f t="shared" si="28"/>
        <v>349.53</v>
      </c>
      <c r="L188" s="85">
        <f t="shared" si="29"/>
        <v>1114.447651631486</v>
      </c>
      <c r="M188" s="85">
        <f t="shared" si="30"/>
        <v>0</v>
      </c>
      <c r="N188" s="85">
        <f t="shared" si="31"/>
        <v>1463.977651631486</v>
      </c>
      <c r="O188" s="85">
        <f t="shared" si="32"/>
        <v>207559.05407485555</v>
      </c>
      <c r="P188" s="85">
        <f t="shared" si="39"/>
        <v>64587.970000000023</v>
      </c>
      <c r="Q188" s="87">
        <v>138</v>
      </c>
      <c r="R188" s="86">
        <f>IFERROR(EOMONTH(DATE($F$10,$F$9,1),138-1),"")</f>
        <v>49125</v>
      </c>
      <c r="S188" s="85">
        <f t="shared" si="40"/>
        <v>223805.50951685058</v>
      </c>
      <c r="T188" s="85">
        <f t="shared" si="33"/>
        <v>652.77</v>
      </c>
      <c r="U188" s="85">
        <f t="shared" si="34"/>
        <v>1074.3813173952506</v>
      </c>
      <c r="V188" s="85">
        <f t="shared" si="35"/>
        <v>0</v>
      </c>
      <c r="W188" s="85">
        <f t="shared" si="36"/>
        <v>1727.1513173952505</v>
      </c>
      <c r="X188" s="85">
        <f t="shared" si="37"/>
        <v>222731.12819945533</v>
      </c>
      <c r="Y188" s="85">
        <f t="shared" si="41"/>
        <v>116078.00999999997</v>
      </c>
    </row>
    <row r="189" spans="8:25">
      <c r="H189" s="93">
        <v>139</v>
      </c>
      <c r="I189" s="92">
        <f>IFERROR(EOMONTH(DATE($C$10,$C$9,1),139-1),"")</f>
        <v>49156</v>
      </c>
      <c r="J189" s="91">
        <f t="shared" si="38"/>
        <v>207559.05407485555</v>
      </c>
      <c r="K189" s="91">
        <f t="shared" si="28"/>
        <v>347.66</v>
      </c>
      <c r="L189" s="91">
        <f t="shared" si="29"/>
        <v>1116.3176516314859</v>
      </c>
      <c r="M189" s="91">
        <f t="shared" si="30"/>
        <v>0</v>
      </c>
      <c r="N189" s="91">
        <f t="shared" si="31"/>
        <v>1463.977651631486</v>
      </c>
      <c r="O189" s="91">
        <f t="shared" si="32"/>
        <v>206442.73642322407</v>
      </c>
      <c r="P189" s="91">
        <f t="shared" si="39"/>
        <v>64935.630000000026</v>
      </c>
      <c r="Q189" s="90">
        <v>139</v>
      </c>
      <c r="R189" s="89">
        <f>IFERROR(EOMONTH(DATE($F$10,$F$9,1),139-1),"")</f>
        <v>49156</v>
      </c>
      <c r="S189" s="88">
        <f t="shared" si="40"/>
        <v>222731.12819945533</v>
      </c>
      <c r="T189" s="88">
        <f t="shared" si="33"/>
        <v>649.63</v>
      </c>
      <c r="U189" s="88">
        <f t="shared" si="34"/>
        <v>1077.5213173952507</v>
      </c>
      <c r="V189" s="88">
        <f t="shared" si="35"/>
        <v>0</v>
      </c>
      <c r="W189" s="88">
        <f t="shared" si="36"/>
        <v>1727.1513173952508</v>
      </c>
      <c r="X189" s="88">
        <f t="shared" si="37"/>
        <v>221653.60688206006</v>
      </c>
      <c r="Y189" s="88">
        <f t="shared" si="41"/>
        <v>116727.63999999997</v>
      </c>
    </row>
    <row r="190" spans="8:25">
      <c r="H190" s="87">
        <v>140</v>
      </c>
      <c r="I190" s="86">
        <f>IFERROR(EOMONTH(DATE($C$10,$C$9,1),140-1),"")</f>
        <v>49187</v>
      </c>
      <c r="J190" s="85">
        <f t="shared" si="38"/>
        <v>206442.73642322407</v>
      </c>
      <c r="K190" s="85">
        <f t="shared" si="28"/>
        <v>345.79</v>
      </c>
      <c r="L190" s="85">
        <f t="shared" si="29"/>
        <v>1118.187651631486</v>
      </c>
      <c r="M190" s="85">
        <f t="shared" si="30"/>
        <v>0</v>
      </c>
      <c r="N190" s="85">
        <f t="shared" si="31"/>
        <v>1463.977651631486</v>
      </c>
      <c r="O190" s="85">
        <f t="shared" si="32"/>
        <v>205324.54877159258</v>
      </c>
      <c r="P190" s="85">
        <f t="shared" si="39"/>
        <v>65281.420000000027</v>
      </c>
      <c r="Q190" s="87">
        <v>140</v>
      </c>
      <c r="R190" s="86">
        <f>IFERROR(EOMONTH(DATE($F$10,$F$9,1),140-1),"")</f>
        <v>49187</v>
      </c>
      <c r="S190" s="85">
        <f t="shared" si="40"/>
        <v>221653.60688206006</v>
      </c>
      <c r="T190" s="85">
        <f t="shared" si="33"/>
        <v>646.49</v>
      </c>
      <c r="U190" s="85">
        <f t="shared" si="34"/>
        <v>1080.6613173952505</v>
      </c>
      <c r="V190" s="85">
        <f t="shared" si="35"/>
        <v>0</v>
      </c>
      <c r="W190" s="85">
        <f t="shared" si="36"/>
        <v>1727.1513173952505</v>
      </c>
      <c r="X190" s="85">
        <f t="shared" si="37"/>
        <v>220572.94556466481</v>
      </c>
      <c r="Y190" s="85">
        <f t="shared" si="41"/>
        <v>117374.12999999998</v>
      </c>
    </row>
    <row r="191" spans="8:25">
      <c r="H191" s="93">
        <v>141</v>
      </c>
      <c r="I191" s="92">
        <f>IFERROR(EOMONTH(DATE($C$10,$C$9,1),141-1),"")</f>
        <v>49217</v>
      </c>
      <c r="J191" s="91">
        <f t="shared" si="38"/>
        <v>205324.54877159258</v>
      </c>
      <c r="K191" s="91">
        <f t="shared" si="28"/>
        <v>343.92</v>
      </c>
      <c r="L191" s="91">
        <f t="shared" si="29"/>
        <v>1120.0576516314859</v>
      </c>
      <c r="M191" s="91">
        <f t="shared" si="30"/>
        <v>0</v>
      </c>
      <c r="N191" s="91">
        <f t="shared" si="31"/>
        <v>1463.977651631486</v>
      </c>
      <c r="O191" s="91">
        <f t="shared" si="32"/>
        <v>204204.49111996111</v>
      </c>
      <c r="P191" s="91">
        <f t="shared" si="39"/>
        <v>65625.340000000026</v>
      </c>
      <c r="Q191" s="90">
        <v>141</v>
      </c>
      <c r="R191" s="89">
        <f>IFERROR(EOMONTH(DATE($F$10,$F$9,1),141-1),"")</f>
        <v>49217</v>
      </c>
      <c r="S191" s="88">
        <f t="shared" si="40"/>
        <v>220572.94556466481</v>
      </c>
      <c r="T191" s="88">
        <f t="shared" si="33"/>
        <v>643.34</v>
      </c>
      <c r="U191" s="88">
        <f t="shared" si="34"/>
        <v>1083.8113173952506</v>
      </c>
      <c r="V191" s="88">
        <f t="shared" si="35"/>
        <v>0</v>
      </c>
      <c r="W191" s="88">
        <f t="shared" si="36"/>
        <v>1727.1513173952508</v>
      </c>
      <c r="X191" s="88">
        <f t="shared" si="37"/>
        <v>219489.13424726957</v>
      </c>
      <c r="Y191" s="88">
        <f t="shared" si="41"/>
        <v>118017.46999999997</v>
      </c>
    </row>
    <row r="192" spans="8:25">
      <c r="H192" s="87">
        <v>142</v>
      </c>
      <c r="I192" s="86">
        <f>IFERROR(EOMONTH(DATE($C$10,$C$9,1),142-1),"")</f>
        <v>49248</v>
      </c>
      <c r="J192" s="85">
        <f t="shared" si="38"/>
        <v>204204.49111996111</v>
      </c>
      <c r="K192" s="85">
        <f t="shared" si="28"/>
        <v>342.04</v>
      </c>
      <c r="L192" s="85">
        <f t="shared" si="29"/>
        <v>1121.937651631486</v>
      </c>
      <c r="M192" s="85">
        <f t="shared" si="30"/>
        <v>0</v>
      </c>
      <c r="N192" s="85">
        <f t="shared" si="31"/>
        <v>1463.977651631486</v>
      </c>
      <c r="O192" s="85">
        <f t="shared" si="32"/>
        <v>203082.55346832963</v>
      </c>
      <c r="P192" s="85">
        <f t="shared" si="39"/>
        <v>65967.380000000019</v>
      </c>
      <c r="Q192" s="87">
        <v>142</v>
      </c>
      <c r="R192" s="86">
        <f>IFERROR(EOMONTH(DATE($F$10,$F$9,1),142-1),"")</f>
        <v>49248</v>
      </c>
      <c r="S192" s="85">
        <f t="shared" si="40"/>
        <v>219489.13424726957</v>
      </c>
      <c r="T192" s="85">
        <f t="shared" si="33"/>
        <v>640.17999999999995</v>
      </c>
      <c r="U192" s="85">
        <f t="shared" si="34"/>
        <v>1086.9713173952505</v>
      </c>
      <c r="V192" s="85">
        <f t="shared" si="35"/>
        <v>0</v>
      </c>
      <c r="W192" s="85">
        <f t="shared" si="36"/>
        <v>1727.1513173952503</v>
      </c>
      <c r="X192" s="85">
        <f t="shared" si="37"/>
        <v>218402.16292987432</v>
      </c>
      <c r="Y192" s="85">
        <f t="shared" si="41"/>
        <v>118657.64999999997</v>
      </c>
    </row>
    <row r="193" spans="8:25">
      <c r="H193" s="93">
        <v>143</v>
      </c>
      <c r="I193" s="92">
        <f>IFERROR(EOMONTH(DATE($C$10,$C$9,1),143-1),"")</f>
        <v>49278</v>
      </c>
      <c r="J193" s="91">
        <f t="shared" si="38"/>
        <v>203082.55346832963</v>
      </c>
      <c r="K193" s="91">
        <f t="shared" si="28"/>
        <v>340.16</v>
      </c>
      <c r="L193" s="91">
        <f t="shared" si="29"/>
        <v>1123.8176516314859</v>
      </c>
      <c r="M193" s="91">
        <f t="shared" si="30"/>
        <v>0</v>
      </c>
      <c r="N193" s="91">
        <f t="shared" si="31"/>
        <v>1463.977651631486</v>
      </c>
      <c r="O193" s="91">
        <f t="shared" si="32"/>
        <v>201958.73581669814</v>
      </c>
      <c r="P193" s="91">
        <f t="shared" si="39"/>
        <v>66307.540000000023</v>
      </c>
      <c r="Q193" s="90">
        <v>143</v>
      </c>
      <c r="R193" s="89">
        <f>IFERROR(EOMONTH(DATE($F$10,$F$9,1),143-1),"")</f>
        <v>49278</v>
      </c>
      <c r="S193" s="88">
        <f t="shared" si="40"/>
        <v>218402.16292987432</v>
      </c>
      <c r="T193" s="88">
        <f t="shared" si="33"/>
        <v>637.01</v>
      </c>
      <c r="U193" s="88">
        <f t="shared" si="34"/>
        <v>1090.1413173952506</v>
      </c>
      <c r="V193" s="88">
        <f t="shared" si="35"/>
        <v>0</v>
      </c>
      <c r="W193" s="88">
        <f t="shared" si="36"/>
        <v>1727.1513173952505</v>
      </c>
      <c r="X193" s="88">
        <f t="shared" si="37"/>
        <v>217312.02161247906</v>
      </c>
      <c r="Y193" s="88">
        <f t="shared" si="41"/>
        <v>119294.65999999996</v>
      </c>
    </row>
    <row r="194" spans="8:25">
      <c r="H194" s="87">
        <v>144</v>
      </c>
      <c r="I194" s="86">
        <f>IFERROR(EOMONTH(DATE($C$10,$C$9,1),144-1),"")</f>
        <v>49309</v>
      </c>
      <c r="J194" s="85">
        <f t="shared" si="38"/>
        <v>201958.73581669814</v>
      </c>
      <c r="K194" s="85">
        <f t="shared" si="28"/>
        <v>338.28</v>
      </c>
      <c r="L194" s="85">
        <f t="shared" si="29"/>
        <v>1125.697651631486</v>
      </c>
      <c r="M194" s="85">
        <f t="shared" si="30"/>
        <v>0</v>
      </c>
      <c r="N194" s="85">
        <f t="shared" si="31"/>
        <v>1463.977651631486</v>
      </c>
      <c r="O194" s="85">
        <f t="shared" si="32"/>
        <v>200833.03816506665</v>
      </c>
      <c r="P194" s="85">
        <f t="shared" si="39"/>
        <v>66645.820000000022</v>
      </c>
      <c r="Q194" s="87">
        <v>144</v>
      </c>
      <c r="R194" s="86">
        <f>IFERROR(EOMONTH(DATE($F$10,$F$9,1),144-1),"")</f>
        <v>49309</v>
      </c>
      <c r="S194" s="85">
        <f t="shared" si="40"/>
        <v>217312.02161247906</v>
      </c>
      <c r="T194" s="85">
        <f t="shared" si="33"/>
        <v>633.83000000000004</v>
      </c>
      <c r="U194" s="85">
        <f t="shared" si="34"/>
        <v>1093.3213173952504</v>
      </c>
      <c r="V194" s="85">
        <f t="shared" si="35"/>
        <v>0</v>
      </c>
      <c r="W194" s="85">
        <f t="shared" si="36"/>
        <v>1727.1513173952503</v>
      </c>
      <c r="X194" s="85">
        <f t="shared" si="37"/>
        <v>216218.70029508381</v>
      </c>
      <c r="Y194" s="85">
        <f t="shared" si="41"/>
        <v>119928.48999999996</v>
      </c>
    </row>
    <row r="195" spans="8:25">
      <c r="H195" s="93">
        <v>145</v>
      </c>
      <c r="I195" s="92">
        <f>IFERROR(EOMONTH(DATE($C$10,$C$9,1),145-1),"")</f>
        <v>49340</v>
      </c>
      <c r="J195" s="91">
        <f t="shared" si="38"/>
        <v>200833.03816506665</v>
      </c>
      <c r="K195" s="91">
        <f t="shared" si="28"/>
        <v>336.4</v>
      </c>
      <c r="L195" s="91">
        <f t="shared" si="29"/>
        <v>1127.5776516314859</v>
      </c>
      <c r="M195" s="91">
        <f t="shared" si="30"/>
        <v>0</v>
      </c>
      <c r="N195" s="91">
        <f t="shared" si="31"/>
        <v>1463.977651631486</v>
      </c>
      <c r="O195" s="91">
        <f t="shared" si="32"/>
        <v>199705.46051343516</v>
      </c>
      <c r="P195" s="91">
        <f t="shared" si="39"/>
        <v>66982.220000000016</v>
      </c>
      <c r="Q195" s="90">
        <v>145</v>
      </c>
      <c r="R195" s="89">
        <f>IFERROR(EOMONTH(DATE($F$10,$F$9,1),145-1),"")</f>
        <v>49340</v>
      </c>
      <c r="S195" s="88">
        <f t="shared" si="40"/>
        <v>216218.70029508381</v>
      </c>
      <c r="T195" s="88">
        <f t="shared" si="33"/>
        <v>630.64</v>
      </c>
      <c r="U195" s="88">
        <f t="shared" si="34"/>
        <v>1096.5113173952504</v>
      </c>
      <c r="V195" s="88">
        <f t="shared" si="35"/>
        <v>0</v>
      </c>
      <c r="W195" s="88">
        <f t="shared" si="36"/>
        <v>1727.1513173952503</v>
      </c>
      <c r="X195" s="88">
        <f t="shared" si="37"/>
        <v>215122.18897768855</v>
      </c>
      <c r="Y195" s="88">
        <f t="shared" si="41"/>
        <v>120559.12999999996</v>
      </c>
    </row>
    <row r="196" spans="8:25">
      <c r="H196" s="87">
        <v>146</v>
      </c>
      <c r="I196" s="86">
        <f>IFERROR(EOMONTH(DATE($C$10,$C$9,1),146-1),"")</f>
        <v>49368</v>
      </c>
      <c r="J196" s="85">
        <f t="shared" si="38"/>
        <v>199705.46051343516</v>
      </c>
      <c r="K196" s="85">
        <f t="shared" si="28"/>
        <v>334.51</v>
      </c>
      <c r="L196" s="85">
        <f t="shared" si="29"/>
        <v>1129.467651631486</v>
      </c>
      <c r="M196" s="85">
        <f t="shared" si="30"/>
        <v>0</v>
      </c>
      <c r="N196" s="85">
        <f t="shared" si="31"/>
        <v>1463.977651631486</v>
      </c>
      <c r="O196" s="85">
        <f t="shared" si="32"/>
        <v>198575.99286180368</v>
      </c>
      <c r="P196" s="85">
        <f t="shared" si="39"/>
        <v>67316.73000000001</v>
      </c>
      <c r="Q196" s="87">
        <v>146</v>
      </c>
      <c r="R196" s="86">
        <f>IFERROR(EOMONTH(DATE($F$10,$F$9,1),146-1),"")</f>
        <v>49368</v>
      </c>
      <c r="S196" s="85">
        <f t="shared" si="40"/>
        <v>215122.18897768855</v>
      </c>
      <c r="T196" s="85">
        <f t="shared" si="33"/>
        <v>627.44000000000005</v>
      </c>
      <c r="U196" s="85">
        <f t="shared" si="34"/>
        <v>1099.7113173952505</v>
      </c>
      <c r="V196" s="85">
        <f t="shared" si="35"/>
        <v>0</v>
      </c>
      <c r="W196" s="85">
        <f t="shared" si="36"/>
        <v>1727.1513173952505</v>
      </c>
      <c r="X196" s="85">
        <f t="shared" si="37"/>
        <v>214022.47766029331</v>
      </c>
      <c r="Y196" s="85">
        <f t="shared" si="41"/>
        <v>121186.56999999996</v>
      </c>
    </row>
    <row r="197" spans="8:25">
      <c r="H197" s="93">
        <v>147</v>
      </c>
      <c r="I197" s="92">
        <f>IFERROR(EOMONTH(DATE($C$10,$C$9,1),147-1),"")</f>
        <v>49399</v>
      </c>
      <c r="J197" s="91">
        <f t="shared" si="38"/>
        <v>198575.99286180368</v>
      </c>
      <c r="K197" s="91">
        <f t="shared" si="28"/>
        <v>332.61</v>
      </c>
      <c r="L197" s="91">
        <f t="shared" si="29"/>
        <v>1131.3676516314858</v>
      </c>
      <c r="M197" s="91">
        <f t="shared" si="30"/>
        <v>0</v>
      </c>
      <c r="N197" s="91">
        <f t="shared" si="31"/>
        <v>1463.977651631486</v>
      </c>
      <c r="O197" s="91">
        <f t="shared" si="32"/>
        <v>197444.62521017221</v>
      </c>
      <c r="P197" s="91">
        <f t="shared" si="39"/>
        <v>67649.340000000011</v>
      </c>
      <c r="Q197" s="90">
        <v>147</v>
      </c>
      <c r="R197" s="89">
        <f>IFERROR(EOMONTH(DATE($F$10,$F$9,1),147-1),"")</f>
        <v>49399</v>
      </c>
      <c r="S197" s="88">
        <f t="shared" si="40"/>
        <v>214022.47766029331</v>
      </c>
      <c r="T197" s="88">
        <f t="shared" si="33"/>
        <v>624.23</v>
      </c>
      <c r="U197" s="88">
        <f t="shared" si="34"/>
        <v>1102.9213173952505</v>
      </c>
      <c r="V197" s="88">
        <f t="shared" si="35"/>
        <v>0</v>
      </c>
      <c r="W197" s="88">
        <f t="shared" si="36"/>
        <v>1727.1513173952505</v>
      </c>
      <c r="X197" s="88">
        <f t="shared" si="37"/>
        <v>212919.55634289805</v>
      </c>
      <c r="Y197" s="88">
        <f t="shared" si="41"/>
        <v>121810.79999999996</v>
      </c>
    </row>
    <row r="198" spans="8:25">
      <c r="H198" s="87">
        <v>148</v>
      </c>
      <c r="I198" s="86">
        <f>IFERROR(EOMONTH(DATE($C$10,$C$9,1),148-1),"")</f>
        <v>49429</v>
      </c>
      <c r="J198" s="85">
        <f t="shared" si="38"/>
        <v>197444.62521017221</v>
      </c>
      <c r="K198" s="85">
        <f t="shared" si="28"/>
        <v>330.72</v>
      </c>
      <c r="L198" s="85">
        <f t="shared" si="29"/>
        <v>1133.2576516314859</v>
      </c>
      <c r="M198" s="85">
        <f t="shared" si="30"/>
        <v>0</v>
      </c>
      <c r="N198" s="85">
        <f t="shared" si="31"/>
        <v>1463.977651631486</v>
      </c>
      <c r="O198" s="85">
        <f t="shared" si="32"/>
        <v>196311.36755854072</v>
      </c>
      <c r="P198" s="85">
        <f t="shared" si="39"/>
        <v>67980.060000000012</v>
      </c>
      <c r="Q198" s="87">
        <v>148</v>
      </c>
      <c r="R198" s="86">
        <f>IFERROR(EOMONTH(DATE($F$10,$F$9,1),148-1),"")</f>
        <v>49429</v>
      </c>
      <c r="S198" s="85">
        <f t="shared" si="40"/>
        <v>212919.55634289805</v>
      </c>
      <c r="T198" s="85">
        <f t="shared" si="33"/>
        <v>621.02</v>
      </c>
      <c r="U198" s="85">
        <f t="shared" si="34"/>
        <v>1106.1313173952506</v>
      </c>
      <c r="V198" s="85">
        <f t="shared" si="35"/>
        <v>0</v>
      </c>
      <c r="W198" s="85">
        <f t="shared" si="36"/>
        <v>1727.1513173952505</v>
      </c>
      <c r="X198" s="85">
        <f t="shared" si="37"/>
        <v>211813.4250255028</v>
      </c>
      <c r="Y198" s="85">
        <f t="shared" si="41"/>
        <v>122431.81999999996</v>
      </c>
    </row>
    <row r="199" spans="8:25">
      <c r="H199" s="93">
        <v>149</v>
      </c>
      <c r="I199" s="92">
        <f>IFERROR(EOMONTH(DATE($C$10,$C$9,1),149-1),"")</f>
        <v>49460</v>
      </c>
      <c r="J199" s="91">
        <f t="shared" si="38"/>
        <v>196311.36755854072</v>
      </c>
      <c r="K199" s="91">
        <f t="shared" si="28"/>
        <v>328.82</v>
      </c>
      <c r="L199" s="91">
        <f t="shared" si="29"/>
        <v>1135.157651631486</v>
      </c>
      <c r="M199" s="91">
        <f t="shared" si="30"/>
        <v>0</v>
      </c>
      <c r="N199" s="91">
        <f t="shared" si="31"/>
        <v>1463.977651631486</v>
      </c>
      <c r="O199" s="91">
        <f t="shared" si="32"/>
        <v>195176.20990690924</v>
      </c>
      <c r="P199" s="91">
        <f t="shared" si="39"/>
        <v>68308.880000000019</v>
      </c>
      <c r="Q199" s="90">
        <v>149</v>
      </c>
      <c r="R199" s="89">
        <f>IFERROR(EOMONTH(DATE($F$10,$F$9,1),149-1),"")</f>
        <v>49460</v>
      </c>
      <c r="S199" s="88">
        <f t="shared" si="40"/>
        <v>211813.4250255028</v>
      </c>
      <c r="T199" s="88">
        <f t="shared" si="33"/>
        <v>617.79</v>
      </c>
      <c r="U199" s="88">
        <f t="shared" si="34"/>
        <v>1109.3613173952506</v>
      </c>
      <c r="V199" s="88">
        <f t="shared" si="35"/>
        <v>0</v>
      </c>
      <c r="W199" s="88">
        <f t="shared" si="36"/>
        <v>1727.1513173952505</v>
      </c>
      <c r="X199" s="88">
        <f t="shared" si="37"/>
        <v>210704.06370810754</v>
      </c>
      <c r="Y199" s="88">
        <f t="shared" si="41"/>
        <v>123049.60999999996</v>
      </c>
    </row>
    <row r="200" spans="8:25">
      <c r="H200" s="87">
        <v>150</v>
      </c>
      <c r="I200" s="86">
        <f>IFERROR(EOMONTH(DATE($C$10,$C$9,1),150-1),"")</f>
        <v>49490</v>
      </c>
      <c r="J200" s="85">
        <f t="shared" si="38"/>
        <v>195176.20990690924</v>
      </c>
      <c r="K200" s="85">
        <f t="shared" si="28"/>
        <v>326.92</v>
      </c>
      <c r="L200" s="85">
        <f t="shared" si="29"/>
        <v>1137.0576516314859</v>
      </c>
      <c r="M200" s="85">
        <f t="shared" si="30"/>
        <v>0</v>
      </c>
      <c r="N200" s="85">
        <f t="shared" si="31"/>
        <v>1463.977651631486</v>
      </c>
      <c r="O200" s="85">
        <f t="shared" si="32"/>
        <v>194039.15225527776</v>
      </c>
      <c r="P200" s="85">
        <f t="shared" si="39"/>
        <v>68635.800000000017</v>
      </c>
      <c r="Q200" s="87">
        <v>150</v>
      </c>
      <c r="R200" s="86">
        <f>IFERROR(EOMONTH(DATE($F$10,$F$9,1),150-1),"")</f>
        <v>49490</v>
      </c>
      <c r="S200" s="85">
        <f t="shared" si="40"/>
        <v>210704.06370810754</v>
      </c>
      <c r="T200" s="85">
        <f t="shared" si="33"/>
        <v>614.54999999999995</v>
      </c>
      <c r="U200" s="85">
        <f t="shared" si="34"/>
        <v>1112.6013173952506</v>
      </c>
      <c r="V200" s="85">
        <f t="shared" si="35"/>
        <v>0</v>
      </c>
      <c r="W200" s="85">
        <f t="shared" si="36"/>
        <v>1727.1513173952505</v>
      </c>
      <c r="X200" s="85">
        <f t="shared" si="37"/>
        <v>209591.46239071229</v>
      </c>
      <c r="Y200" s="85">
        <f t="shared" si="41"/>
        <v>123664.15999999996</v>
      </c>
    </row>
    <row r="201" spans="8:25">
      <c r="H201" s="93">
        <v>151</v>
      </c>
      <c r="I201" s="92">
        <f>IFERROR(EOMONTH(DATE($C$10,$C$9,1),151-1),"")</f>
        <v>49521</v>
      </c>
      <c r="J201" s="91">
        <f t="shared" si="38"/>
        <v>194039.15225527776</v>
      </c>
      <c r="K201" s="91">
        <f t="shared" si="28"/>
        <v>325.02</v>
      </c>
      <c r="L201" s="91">
        <f t="shared" si="29"/>
        <v>1138.957651631486</v>
      </c>
      <c r="M201" s="91">
        <f t="shared" si="30"/>
        <v>0</v>
      </c>
      <c r="N201" s="91">
        <f t="shared" si="31"/>
        <v>1463.977651631486</v>
      </c>
      <c r="O201" s="91">
        <f t="shared" si="32"/>
        <v>192900.19460364626</v>
      </c>
      <c r="P201" s="91">
        <f t="shared" si="39"/>
        <v>68960.820000000022</v>
      </c>
      <c r="Q201" s="90">
        <v>151</v>
      </c>
      <c r="R201" s="89">
        <f>IFERROR(EOMONTH(DATE($F$10,$F$9,1),151-1),"")</f>
        <v>49521</v>
      </c>
      <c r="S201" s="88">
        <f t="shared" si="40"/>
        <v>209591.46239071229</v>
      </c>
      <c r="T201" s="88">
        <f t="shared" si="33"/>
        <v>611.30999999999995</v>
      </c>
      <c r="U201" s="88">
        <f t="shared" si="34"/>
        <v>1115.8413173952506</v>
      </c>
      <c r="V201" s="88">
        <f t="shared" si="35"/>
        <v>0</v>
      </c>
      <c r="W201" s="88">
        <f t="shared" si="36"/>
        <v>1727.1513173952505</v>
      </c>
      <c r="X201" s="88">
        <f t="shared" si="37"/>
        <v>208475.62107331704</v>
      </c>
      <c r="Y201" s="88">
        <f t="shared" si="41"/>
        <v>124275.46999999996</v>
      </c>
    </row>
    <row r="202" spans="8:25">
      <c r="H202" s="87">
        <v>152</v>
      </c>
      <c r="I202" s="86">
        <f>IFERROR(EOMONTH(DATE($C$10,$C$9,1),152-1),"")</f>
        <v>49552</v>
      </c>
      <c r="J202" s="85">
        <f t="shared" si="38"/>
        <v>192900.19460364626</v>
      </c>
      <c r="K202" s="85">
        <f t="shared" si="28"/>
        <v>323.11</v>
      </c>
      <c r="L202" s="85">
        <f t="shared" si="29"/>
        <v>1140.8676516314858</v>
      </c>
      <c r="M202" s="85">
        <f t="shared" si="30"/>
        <v>0</v>
      </c>
      <c r="N202" s="85">
        <f t="shared" si="31"/>
        <v>1463.977651631486</v>
      </c>
      <c r="O202" s="85">
        <f t="shared" si="32"/>
        <v>191759.32695201479</v>
      </c>
      <c r="P202" s="85">
        <f t="shared" si="39"/>
        <v>69283.930000000022</v>
      </c>
      <c r="Q202" s="87">
        <v>152</v>
      </c>
      <c r="R202" s="86">
        <f>IFERROR(EOMONTH(DATE($F$10,$F$9,1),152-1),"")</f>
        <v>49552</v>
      </c>
      <c r="S202" s="85">
        <f t="shared" si="40"/>
        <v>208475.62107331704</v>
      </c>
      <c r="T202" s="85">
        <f t="shared" si="33"/>
        <v>608.04999999999995</v>
      </c>
      <c r="U202" s="85">
        <f t="shared" si="34"/>
        <v>1119.1013173952506</v>
      </c>
      <c r="V202" s="85">
        <f t="shared" si="35"/>
        <v>0</v>
      </c>
      <c r="W202" s="85">
        <f t="shared" si="36"/>
        <v>1727.1513173952505</v>
      </c>
      <c r="X202" s="85">
        <f t="shared" si="37"/>
        <v>207356.51975592179</v>
      </c>
      <c r="Y202" s="85">
        <f t="shared" si="41"/>
        <v>124883.51999999996</v>
      </c>
    </row>
    <row r="203" spans="8:25">
      <c r="H203" s="93">
        <v>153</v>
      </c>
      <c r="I203" s="92">
        <f>IFERROR(EOMONTH(DATE($C$10,$C$9,1),153-1),"")</f>
        <v>49582</v>
      </c>
      <c r="J203" s="91">
        <f t="shared" si="38"/>
        <v>191759.32695201479</v>
      </c>
      <c r="K203" s="91">
        <f t="shared" si="28"/>
        <v>321.2</v>
      </c>
      <c r="L203" s="91">
        <f t="shared" si="29"/>
        <v>1142.7776516314859</v>
      </c>
      <c r="M203" s="91">
        <f t="shared" si="30"/>
        <v>0</v>
      </c>
      <c r="N203" s="91">
        <f t="shared" si="31"/>
        <v>1463.977651631486</v>
      </c>
      <c r="O203" s="91">
        <f t="shared" si="32"/>
        <v>190616.54930038331</v>
      </c>
      <c r="P203" s="91">
        <f t="shared" si="39"/>
        <v>69605.130000000019</v>
      </c>
      <c r="Q203" s="90">
        <v>153</v>
      </c>
      <c r="R203" s="89">
        <f>IFERROR(EOMONTH(DATE($F$10,$F$9,1),153-1),"")</f>
        <v>49582</v>
      </c>
      <c r="S203" s="88">
        <f t="shared" si="40"/>
        <v>207356.51975592179</v>
      </c>
      <c r="T203" s="88">
        <f t="shared" si="33"/>
        <v>604.79</v>
      </c>
      <c r="U203" s="88">
        <f t="shared" si="34"/>
        <v>1122.3613173952506</v>
      </c>
      <c r="V203" s="88">
        <f t="shared" si="35"/>
        <v>0</v>
      </c>
      <c r="W203" s="88">
        <f t="shared" si="36"/>
        <v>1727.1513173952505</v>
      </c>
      <c r="X203" s="88">
        <f t="shared" si="37"/>
        <v>206234.15843852653</v>
      </c>
      <c r="Y203" s="88">
        <f t="shared" si="41"/>
        <v>125488.30999999995</v>
      </c>
    </row>
    <row r="204" spans="8:25">
      <c r="H204" s="87">
        <v>154</v>
      </c>
      <c r="I204" s="86">
        <f>IFERROR(EOMONTH(DATE($C$10,$C$9,1),154-1),"")</f>
        <v>49613</v>
      </c>
      <c r="J204" s="85">
        <f t="shared" si="38"/>
        <v>190616.54930038331</v>
      </c>
      <c r="K204" s="85">
        <f t="shared" si="28"/>
        <v>319.27999999999997</v>
      </c>
      <c r="L204" s="85">
        <f t="shared" si="29"/>
        <v>1144.697651631486</v>
      </c>
      <c r="M204" s="85">
        <f t="shared" si="30"/>
        <v>0</v>
      </c>
      <c r="N204" s="85">
        <f t="shared" si="31"/>
        <v>1463.977651631486</v>
      </c>
      <c r="O204" s="85">
        <f t="shared" si="32"/>
        <v>189471.85164875182</v>
      </c>
      <c r="P204" s="85">
        <f t="shared" si="39"/>
        <v>69924.410000000018</v>
      </c>
      <c r="Q204" s="87">
        <v>154</v>
      </c>
      <c r="R204" s="86">
        <f>IFERROR(EOMONTH(DATE($F$10,$F$9,1),154-1),"")</f>
        <v>49613</v>
      </c>
      <c r="S204" s="85">
        <f t="shared" si="40"/>
        <v>206234.15843852653</v>
      </c>
      <c r="T204" s="85">
        <f t="shared" si="33"/>
        <v>601.52</v>
      </c>
      <c r="U204" s="85">
        <f t="shared" si="34"/>
        <v>1125.6313173952506</v>
      </c>
      <c r="V204" s="85">
        <f t="shared" si="35"/>
        <v>0</v>
      </c>
      <c r="W204" s="85">
        <f t="shared" si="36"/>
        <v>1727.1513173952505</v>
      </c>
      <c r="X204" s="85">
        <f t="shared" si="37"/>
        <v>205108.52712113128</v>
      </c>
      <c r="Y204" s="85">
        <f t="shared" si="41"/>
        <v>126089.82999999996</v>
      </c>
    </row>
    <row r="205" spans="8:25">
      <c r="H205" s="93">
        <v>155</v>
      </c>
      <c r="I205" s="92">
        <f>IFERROR(EOMONTH(DATE($C$10,$C$9,1),155-1),"")</f>
        <v>49643</v>
      </c>
      <c r="J205" s="91">
        <f t="shared" si="38"/>
        <v>189471.85164875182</v>
      </c>
      <c r="K205" s="91">
        <f t="shared" si="28"/>
        <v>317.37</v>
      </c>
      <c r="L205" s="91">
        <f t="shared" si="29"/>
        <v>1146.6076516314861</v>
      </c>
      <c r="M205" s="91">
        <f t="shared" si="30"/>
        <v>0</v>
      </c>
      <c r="N205" s="91">
        <f t="shared" si="31"/>
        <v>1463.977651631486</v>
      </c>
      <c r="O205" s="91">
        <f t="shared" si="32"/>
        <v>188325.24399712033</v>
      </c>
      <c r="P205" s="91">
        <f t="shared" si="39"/>
        <v>70241.780000000013</v>
      </c>
      <c r="Q205" s="90">
        <v>155</v>
      </c>
      <c r="R205" s="89">
        <f>IFERROR(EOMONTH(DATE($F$10,$F$9,1),155-1),"")</f>
        <v>49643</v>
      </c>
      <c r="S205" s="88">
        <f t="shared" si="40"/>
        <v>205108.52712113128</v>
      </c>
      <c r="T205" s="88">
        <f t="shared" si="33"/>
        <v>598.23</v>
      </c>
      <c r="U205" s="88">
        <f t="shared" si="34"/>
        <v>1128.9213173952505</v>
      </c>
      <c r="V205" s="88">
        <f t="shared" si="35"/>
        <v>0</v>
      </c>
      <c r="W205" s="88">
        <f t="shared" si="36"/>
        <v>1727.1513173952505</v>
      </c>
      <c r="X205" s="88">
        <f t="shared" si="37"/>
        <v>203979.60580373602</v>
      </c>
      <c r="Y205" s="88">
        <f t="shared" si="41"/>
        <v>126688.05999999995</v>
      </c>
    </row>
    <row r="206" spans="8:25">
      <c r="H206" s="87">
        <v>156</v>
      </c>
      <c r="I206" s="86">
        <f>IFERROR(EOMONTH(DATE($C$10,$C$9,1),156-1),"")</f>
        <v>49674</v>
      </c>
      <c r="J206" s="85">
        <f t="shared" si="38"/>
        <v>188325.24399712033</v>
      </c>
      <c r="K206" s="85">
        <f t="shared" si="28"/>
        <v>315.44</v>
      </c>
      <c r="L206" s="85">
        <f t="shared" si="29"/>
        <v>1148.5376516314859</v>
      </c>
      <c r="M206" s="85">
        <f t="shared" si="30"/>
        <v>0</v>
      </c>
      <c r="N206" s="85">
        <f t="shared" si="31"/>
        <v>1463.977651631486</v>
      </c>
      <c r="O206" s="85">
        <f t="shared" si="32"/>
        <v>187176.70634548884</v>
      </c>
      <c r="P206" s="85">
        <f t="shared" si="39"/>
        <v>70557.220000000016</v>
      </c>
      <c r="Q206" s="87">
        <v>156</v>
      </c>
      <c r="R206" s="86">
        <f>IFERROR(EOMONTH(DATE($F$10,$F$9,1),156-1),"")</f>
        <v>49674</v>
      </c>
      <c r="S206" s="85">
        <f t="shared" si="40"/>
        <v>203979.60580373602</v>
      </c>
      <c r="T206" s="85">
        <f t="shared" si="33"/>
        <v>594.94000000000005</v>
      </c>
      <c r="U206" s="85">
        <f t="shared" si="34"/>
        <v>1132.2113173952505</v>
      </c>
      <c r="V206" s="85">
        <f t="shared" si="35"/>
        <v>0</v>
      </c>
      <c r="W206" s="85">
        <f t="shared" si="36"/>
        <v>1727.1513173952505</v>
      </c>
      <c r="X206" s="85">
        <f t="shared" si="37"/>
        <v>202847.39448634078</v>
      </c>
      <c r="Y206" s="85">
        <f t="shared" si="41"/>
        <v>127282.99999999996</v>
      </c>
    </row>
    <row r="207" spans="8:25">
      <c r="H207" s="93">
        <v>157</v>
      </c>
      <c r="I207" s="92">
        <f>IFERROR(EOMONTH(DATE($C$10,$C$9,1),157-1),"")</f>
        <v>49705</v>
      </c>
      <c r="J207" s="91">
        <f t="shared" si="38"/>
        <v>187176.70634548884</v>
      </c>
      <c r="K207" s="91">
        <f t="shared" si="28"/>
        <v>313.52</v>
      </c>
      <c r="L207" s="91">
        <f t="shared" si="29"/>
        <v>1150.457651631486</v>
      </c>
      <c r="M207" s="91">
        <f t="shared" si="30"/>
        <v>0</v>
      </c>
      <c r="N207" s="91">
        <f t="shared" si="31"/>
        <v>1463.977651631486</v>
      </c>
      <c r="O207" s="91">
        <f t="shared" si="32"/>
        <v>186026.24869385734</v>
      </c>
      <c r="P207" s="91">
        <f t="shared" si="39"/>
        <v>70870.74000000002</v>
      </c>
      <c r="Q207" s="90">
        <v>157</v>
      </c>
      <c r="R207" s="89">
        <f>IFERROR(EOMONTH(DATE($F$10,$F$9,1),157-1),"")</f>
        <v>49705</v>
      </c>
      <c r="S207" s="88">
        <f t="shared" si="40"/>
        <v>202847.39448634078</v>
      </c>
      <c r="T207" s="88">
        <f t="shared" si="33"/>
        <v>591.64</v>
      </c>
      <c r="U207" s="88">
        <f t="shared" si="34"/>
        <v>1135.5113173952504</v>
      </c>
      <c r="V207" s="88">
        <f t="shared" si="35"/>
        <v>0</v>
      </c>
      <c r="W207" s="88">
        <f t="shared" si="36"/>
        <v>1727.1513173952503</v>
      </c>
      <c r="X207" s="88">
        <f t="shared" si="37"/>
        <v>201711.88316894553</v>
      </c>
      <c r="Y207" s="88">
        <f t="shared" si="41"/>
        <v>127874.63999999996</v>
      </c>
    </row>
    <row r="208" spans="8:25">
      <c r="H208" s="87">
        <v>158</v>
      </c>
      <c r="I208" s="86">
        <f>IFERROR(EOMONTH(DATE($C$10,$C$9,1),158-1),"")</f>
        <v>49734</v>
      </c>
      <c r="J208" s="85">
        <f t="shared" si="38"/>
        <v>186026.24869385734</v>
      </c>
      <c r="K208" s="85">
        <f t="shared" si="28"/>
        <v>311.58999999999997</v>
      </c>
      <c r="L208" s="85">
        <f t="shared" si="29"/>
        <v>1152.3876516314861</v>
      </c>
      <c r="M208" s="85">
        <f t="shared" si="30"/>
        <v>0</v>
      </c>
      <c r="N208" s="85">
        <f t="shared" si="31"/>
        <v>1463.977651631486</v>
      </c>
      <c r="O208" s="85">
        <f t="shared" si="32"/>
        <v>184873.86104222585</v>
      </c>
      <c r="P208" s="85">
        <f t="shared" si="39"/>
        <v>71182.330000000016</v>
      </c>
      <c r="Q208" s="87">
        <v>158</v>
      </c>
      <c r="R208" s="86">
        <f>IFERROR(EOMONTH(DATE($F$10,$F$9,1),158-1),"")</f>
        <v>49734</v>
      </c>
      <c r="S208" s="85">
        <f t="shared" si="40"/>
        <v>201711.88316894553</v>
      </c>
      <c r="T208" s="85">
        <f t="shared" si="33"/>
        <v>588.33000000000004</v>
      </c>
      <c r="U208" s="85">
        <f t="shared" si="34"/>
        <v>1138.8213173952504</v>
      </c>
      <c r="V208" s="85">
        <f t="shared" si="35"/>
        <v>0</v>
      </c>
      <c r="W208" s="85">
        <f t="shared" si="36"/>
        <v>1727.1513173952503</v>
      </c>
      <c r="X208" s="85">
        <f t="shared" si="37"/>
        <v>200573.06185155027</v>
      </c>
      <c r="Y208" s="85">
        <f t="shared" si="41"/>
        <v>128462.96999999996</v>
      </c>
    </row>
    <row r="209" spans="8:25">
      <c r="H209" s="93">
        <v>159</v>
      </c>
      <c r="I209" s="92">
        <f>IFERROR(EOMONTH(DATE($C$10,$C$9,1),159-1),"")</f>
        <v>49765</v>
      </c>
      <c r="J209" s="91">
        <f t="shared" si="38"/>
        <v>184873.86104222585</v>
      </c>
      <c r="K209" s="91">
        <f t="shared" si="28"/>
        <v>309.66000000000003</v>
      </c>
      <c r="L209" s="91">
        <f t="shared" si="29"/>
        <v>1154.3176516314859</v>
      </c>
      <c r="M209" s="91">
        <f t="shared" si="30"/>
        <v>0</v>
      </c>
      <c r="N209" s="91">
        <f t="shared" si="31"/>
        <v>1463.977651631486</v>
      </c>
      <c r="O209" s="91">
        <f t="shared" si="32"/>
        <v>183719.54339059436</v>
      </c>
      <c r="P209" s="91">
        <f t="shared" si="39"/>
        <v>71491.99000000002</v>
      </c>
      <c r="Q209" s="90">
        <v>159</v>
      </c>
      <c r="R209" s="89">
        <f>IFERROR(EOMONTH(DATE($F$10,$F$9,1),159-1),"")</f>
        <v>49765</v>
      </c>
      <c r="S209" s="88">
        <f t="shared" si="40"/>
        <v>200573.06185155027</v>
      </c>
      <c r="T209" s="88">
        <f t="shared" si="33"/>
        <v>585</v>
      </c>
      <c r="U209" s="88">
        <f t="shared" si="34"/>
        <v>1142.1513173952505</v>
      </c>
      <c r="V209" s="88">
        <f t="shared" si="35"/>
        <v>0</v>
      </c>
      <c r="W209" s="88">
        <f t="shared" si="36"/>
        <v>1727.1513173952505</v>
      </c>
      <c r="X209" s="88">
        <f t="shared" si="37"/>
        <v>199430.91053415503</v>
      </c>
      <c r="Y209" s="88">
        <f t="shared" si="41"/>
        <v>129047.96999999996</v>
      </c>
    </row>
    <row r="210" spans="8:25">
      <c r="H210" s="87">
        <v>160</v>
      </c>
      <c r="I210" s="86">
        <f>IFERROR(EOMONTH(DATE($C$10,$C$9,1),160-1),"")</f>
        <v>49795</v>
      </c>
      <c r="J210" s="85">
        <f t="shared" si="38"/>
        <v>183719.54339059436</v>
      </c>
      <c r="K210" s="85">
        <f t="shared" si="28"/>
        <v>307.73</v>
      </c>
      <c r="L210" s="85">
        <f t="shared" si="29"/>
        <v>1156.247651631486</v>
      </c>
      <c r="M210" s="85">
        <f t="shared" si="30"/>
        <v>0</v>
      </c>
      <c r="N210" s="85">
        <f t="shared" si="31"/>
        <v>1463.977651631486</v>
      </c>
      <c r="O210" s="85">
        <f t="shared" si="32"/>
        <v>182563.29573896289</v>
      </c>
      <c r="P210" s="85">
        <f t="shared" si="39"/>
        <v>71799.720000000016</v>
      </c>
      <c r="Q210" s="87">
        <v>160</v>
      </c>
      <c r="R210" s="86">
        <f>IFERROR(EOMONTH(DATE($F$10,$F$9,1),160-1),"")</f>
        <v>49795</v>
      </c>
      <c r="S210" s="85">
        <f t="shared" si="40"/>
        <v>199430.91053415503</v>
      </c>
      <c r="T210" s="85">
        <f t="shared" si="33"/>
        <v>581.66999999999996</v>
      </c>
      <c r="U210" s="85">
        <f t="shared" si="34"/>
        <v>1145.4813173952507</v>
      </c>
      <c r="V210" s="85">
        <f t="shared" si="35"/>
        <v>0</v>
      </c>
      <c r="W210" s="85">
        <f t="shared" si="36"/>
        <v>1727.1513173952508</v>
      </c>
      <c r="X210" s="85">
        <f t="shared" si="37"/>
        <v>198285.42921675977</v>
      </c>
      <c r="Y210" s="85">
        <f t="shared" si="41"/>
        <v>129629.63999999996</v>
      </c>
    </row>
    <row r="211" spans="8:25">
      <c r="H211" s="93">
        <v>161</v>
      </c>
      <c r="I211" s="92">
        <f>IFERROR(EOMONTH(DATE($C$10,$C$9,1),161-1),"")</f>
        <v>49826</v>
      </c>
      <c r="J211" s="91">
        <f t="shared" si="38"/>
        <v>182563.29573896289</v>
      </c>
      <c r="K211" s="91">
        <f t="shared" si="28"/>
        <v>305.79000000000002</v>
      </c>
      <c r="L211" s="91">
        <f t="shared" si="29"/>
        <v>1158.187651631486</v>
      </c>
      <c r="M211" s="91">
        <f t="shared" si="30"/>
        <v>0</v>
      </c>
      <c r="N211" s="91">
        <f t="shared" si="31"/>
        <v>1463.977651631486</v>
      </c>
      <c r="O211" s="91">
        <f t="shared" si="32"/>
        <v>181405.10808733141</v>
      </c>
      <c r="P211" s="91">
        <f t="shared" si="39"/>
        <v>72105.510000000009</v>
      </c>
      <c r="Q211" s="90">
        <v>161</v>
      </c>
      <c r="R211" s="89">
        <f>IFERROR(EOMONTH(DATE($F$10,$F$9,1),161-1),"")</f>
        <v>49826</v>
      </c>
      <c r="S211" s="88">
        <f t="shared" si="40"/>
        <v>198285.42921675977</v>
      </c>
      <c r="T211" s="88">
        <f t="shared" si="33"/>
        <v>578.33000000000004</v>
      </c>
      <c r="U211" s="88">
        <f t="shared" si="34"/>
        <v>1148.8213173952504</v>
      </c>
      <c r="V211" s="88">
        <f t="shared" si="35"/>
        <v>0</v>
      </c>
      <c r="W211" s="88">
        <f t="shared" si="36"/>
        <v>1727.1513173952503</v>
      </c>
      <c r="X211" s="88">
        <f t="shared" si="37"/>
        <v>197136.60789936452</v>
      </c>
      <c r="Y211" s="88">
        <f t="shared" si="41"/>
        <v>130207.96999999996</v>
      </c>
    </row>
    <row r="212" spans="8:25">
      <c r="H212" s="87">
        <v>162</v>
      </c>
      <c r="I212" s="86">
        <f>IFERROR(EOMONTH(DATE($C$10,$C$9,1),162-1),"")</f>
        <v>49856</v>
      </c>
      <c r="J212" s="85">
        <f t="shared" si="38"/>
        <v>181405.10808733141</v>
      </c>
      <c r="K212" s="85">
        <f t="shared" si="28"/>
        <v>303.85000000000002</v>
      </c>
      <c r="L212" s="85">
        <f t="shared" si="29"/>
        <v>1160.1276516314861</v>
      </c>
      <c r="M212" s="85">
        <f t="shared" si="30"/>
        <v>0</v>
      </c>
      <c r="N212" s="85">
        <f t="shared" si="31"/>
        <v>1463.977651631486</v>
      </c>
      <c r="O212" s="85">
        <f t="shared" si="32"/>
        <v>180244.98043569992</v>
      </c>
      <c r="P212" s="85">
        <f t="shared" si="39"/>
        <v>72409.360000000015</v>
      </c>
      <c r="Q212" s="87">
        <v>162</v>
      </c>
      <c r="R212" s="86">
        <f>IFERROR(EOMONTH(DATE($F$10,$F$9,1),162-1),"")</f>
        <v>49856</v>
      </c>
      <c r="S212" s="85">
        <f t="shared" si="40"/>
        <v>197136.60789936452</v>
      </c>
      <c r="T212" s="85">
        <f t="shared" si="33"/>
        <v>574.98</v>
      </c>
      <c r="U212" s="85">
        <f t="shared" si="34"/>
        <v>1152.1713173952505</v>
      </c>
      <c r="V212" s="85">
        <f t="shared" si="35"/>
        <v>0</v>
      </c>
      <c r="W212" s="85">
        <f t="shared" si="36"/>
        <v>1727.1513173952505</v>
      </c>
      <c r="X212" s="85">
        <f t="shared" si="37"/>
        <v>195984.43658196926</v>
      </c>
      <c r="Y212" s="85">
        <f t="shared" si="41"/>
        <v>130782.94999999995</v>
      </c>
    </row>
    <row r="213" spans="8:25">
      <c r="H213" s="93">
        <v>163</v>
      </c>
      <c r="I213" s="92">
        <f>IFERROR(EOMONTH(DATE($C$10,$C$9,1),163-1),"")</f>
        <v>49887</v>
      </c>
      <c r="J213" s="91">
        <f t="shared" si="38"/>
        <v>180244.98043569992</v>
      </c>
      <c r="K213" s="91">
        <f t="shared" si="28"/>
        <v>301.91000000000003</v>
      </c>
      <c r="L213" s="91">
        <f t="shared" si="29"/>
        <v>1162.0676516314859</v>
      </c>
      <c r="M213" s="91">
        <f t="shared" si="30"/>
        <v>0</v>
      </c>
      <c r="N213" s="91">
        <f t="shared" si="31"/>
        <v>1463.977651631486</v>
      </c>
      <c r="O213" s="91">
        <f t="shared" si="32"/>
        <v>179082.91278406844</v>
      </c>
      <c r="P213" s="91">
        <f t="shared" si="39"/>
        <v>72711.270000000019</v>
      </c>
      <c r="Q213" s="90">
        <v>163</v>
      </c>
      <c r="R213" s="89">
        <f>IFERROR(EOMONTH(DATE($F$10,$F$9,1),163-1),"")</f>
        <v>49887</v>
      </c>
      <c r="S213" s="88">
        <f t="shared" si="40"/>
        <v>195984.43658196926</v>
      </c>
      <c r="T213" s="88">
        <f t="shared" si="33"/>
        <v>571.62</v>
      </c>
      <c r="U213" s="88">
        <f t="shared" si="34"/>
        <v>1155.5313173952504</v>
      </c>
      <c r="V213" s="88">
        <f t="shared" si="35"/>
        <v>0</v>
      </c>
      <c r="W213" s="88">
        <f t="shared" si="36"/>
        <v>1727.1513173952503</v>
      </c>
      <c r="X213" s="88">
        <f t="shared" si="37"/>
        <v>194828.90526457402</v>
      </c>
      <c r="Y213" s="88">
        <f t="shared" si="41"/>
        <v>131354.56999999995</v>
      </c>
    </row>
    <row r="214" spans="8:25">
      <c r="H214" s="87">
        <v>164</v>
      </c>
      <c r="I214" s="86">
        <f>IFERROR(EOMONTH(DATE($C$10,$C$9,1),164-1),"")</f>
        <v>49918</v>
      </c>
      <c r="J214" s="85">
        <f t="shared" si="38"/>
        <v>179082.91278406844</v>
      </c>
      <c r="K214" s="85">
        <f t="shared" si="28"/>
        <v>299.95999999999998</v>
      </c>
      <c r="L214" s="85">
        <f t="shared" si="29"/>
        <v>1164.0176516314859</v>
      </c>
      <c r="M214" s="85">
        <f t="shared" si="30"/>
        <v>0</v>
      </c>
      <c r="N214" s="85">
        <f t="shared" si="31"/>
        <v>1463.977651631486</v>
      </c>
      <c r="O214" s="85">
        <f t="shared" si="32"/>
        <v>177918.89513243694</v>
      </c>
      <c r="P214" s="85">
        <f t="shared" si="39"/>
        <v>73011.230000000025</v>
      </c>
      <c r="Q214" s="87">
        <v>164</v>
      </c>
      <c r="R214" s="86">
        <f>IFERROR(EOMONTH(DATE($F$10,$F$9,1),164-1),"")</f>
        <v>49918</v>
      </c>
      <c r="S214" s="85">
        <f t="shared" si="40"/>
        <v>194828.90526457402</v>
      </c>
      <c r="T214" s="85">
        <f t="shared" si="33"/>
        <v>568.25</v>
      </c>
      <c r="U214" s="85">
        <f t="shared" si="34"/>
        <v>1158.9013173952505</v>
      </c>
      <c r="V214" s="85">
        <f t="shared" si="35"/>
        <v>0</v>
      </c>
      <c r="W214" s="85">
        <f t="shared" si="36"/>
        <v>1727.1513173952505</v>
      </c>
      <c r="X214" s="85">
        <f t="shared" si="37"/>
        <v>193670.00394717877</v>
      </c>
      <c r="Y214" s="85">
        <f t="shared" si="41"/>
        <v>131922.81999999995</v>
      </c>
    </row>
    <row r="215" spans="8:25">
      <c r="H215" s="93">
        <v>165</v>
      </c>
      <c r="I215" s="92">
        <f>IFERROR(EOMONTH(DATE($C$10,$C$9,1),165-1),"")</f>
        <v>49948</v>
      </c>
      <c r="J215" s="91">
        <f t="shared" si="38"/>
        <v>177918.89513243694</v>
      </c>
      <c r="K215" s="91">
        <f t="shared" si="28"/>
        <v>298.01</v>
      </c>
      <c r="L215" s="91">
        <f t="shared" si="29"/>
        <v>1165.967651631486</v>
      </c>
      <c r="M215" s="91">
        <f t="shared" si="30"/>
        <v>0</v>
      </c>
      <c r="N215" s="91">
        <f t="shared" si="31"/>
        <v>1463.977651631486</v>
      </c>
      <c r="O215" s="91">
        <f t="shared" si="32"/>
        <v>176752.92748080546</v>
      </c>
      <c r="P215" s="91">
        <f t="shared" si="39"/>
        <v>73309.24000000002</v>
      </c>
      <c r="Q215" s="90">
        <v>165</v>
      </c>
      <c r="R215" s="89">
        <f>IFERROR(EOMONTH(DATE($F$10,$F$9,1),165-1),"")</f>
        <v>49948</v>
      </c>
      <c r="S215" s="88">
        <f t="shared" si="40"/>
        <v>193670.00394717877</v>
      </c>
      <c r="T215" s="88">
        <f t="shared" si="33"/>
        <v>564.87</v>
      </c>
      <c r="U215" s="88">
        <f t="shared" si="34"/>
        <v>1162.2813173952504</v>
      </c>
      <c r="V215" s="88">
        <f t="shared" si="35"/>
        <v>0</v>
      </c>
      <c r="W215" s="88">
        <f t="shared" si="36"/>
        <v>1727.1513173952503</v>
      </c>
      <c r="X215" s="88">
        <f t="shared" si="37"/>
        <v>192507.72262978353</v>
      </c>
      <c r="Y215" s="88">
        <f t="shared" si="41"/>
        <v>132487.68999999994</v>
      </c>
    </row>
    <row r="216" spans="8:25">
      <c r="H216" s="87">
        <v>166</v>
      </c>
      <c r="I216" s="86">
        <f>IFERROR(EOMONTH(DATE($C$10,$C$9,1),166-1),"")</f>
        <v>49979</v>
      </c>
      <c r="J216" s="85">
        <f t="shared" si="38"/>
        <v>176752.92748080546</v>
      </c>
      <c r="K216" s="85">
        <f t="shared" si="28"/>
        <v>296.06</v>
      </c>
      <c r="L216" s="85">
        <f t="shared" si="29"/>
        <v>1167.917651631486</v>
      </c>
      <c r="M216" s="85">
        <f t="shared" si="30"/>
        <v>0</v>
      </c>
      <c r="N216" s="85">
        <f t="shared" si="31"/>
        <v>1463.977651631486</v>
      </c>
      <c r="O216" s="85">
        <f t="shared" si="32"/>
        <v>175585.00982917397</v>
      </c>
      <c r="P216" s="85">
        <f t="shared" si="39"/>
        <v>73605.300000000017</v>
      </c>
      <c r="Q216" s="87">
        <v>166</v>
      </c>
      <c r="R216" s="86">
        <f>IFERROR(EOMONTH(DATE($F$10,$F$9,1),166-1),"")</f>
        <v>49979</v>
      </c>
      <c r="S216" s="85">
        <f t="shared" si="40"/>
        <v>192507.72262978353</v>
      </c>
      <c r="T216" s="85">
        <f t="shared" si="33"/>
        <v>561.48</v>
      </c>
      <c r="U216" s="85">
        <f t="shared" si="34"/>
        <v>1165.6713173952505</v>
      </c>
      <c r="V216" s="85">
        <f t="shared" si="35"/>
        <v>0</v>
      </c>
      <c r="W216" s="85">
        <f t="shared" si="36"/>
        <v>1727.1513173952505</v>
      </c>
      <c r="X216" s="85">
        <f t="shared" si="37"/>
        <v>191342.05131238827</v>
      </c>
      <c r="Y216" s="85">
        <f t="shared" si="41"/>
        <v>133049.16999999995</v>
      </c>
    </row>
    <row r="217" spans="8:25">
      <c r="H217" s="93">
        <v>167</v>
      </c>
      <c r="I217" s="92">
        <f>IFERROR(EOMONTH(DATE($C$10,$C$9,1),167-1),"")</f>
        <v>50009</v>
      </c>
      <c r="J217" s="91">
        <f t="shared" si="38"/>
        <v>175585.00982917397</v>
      </c>
      <c r="K217" s="91">
        <f t="shared" si="28"/>
        <v>294.10000000000002</v>
      </c>
      <c r="L217" s="91">
        <f t="shared" si="29"/>
        <v>1169.8776516314861</v>
      </c>
      <c r="M217" s="91">
        <f t="shared" si="30"/>
        <v>0</v>
      </c>
      <c r="N217" s="91">
        <f t="shared" si="31"/>
        <v>1463.977651631486</v>
      </c>
      <c r="O217" s="91">
        <f t="shared" si="32"/>
        <v>174415.13217754249</v>
      </c>
      <c r="P217" s="91">
        <f t="shared" si="39"/>
        <v>73899.400000000023</v>
      </c>
      <c r="Q217" s="90">
        <v>167</v>
      </c>
      <c r="R217" s="89">
        <f>IFERROR(EOMONTH(DATE($F$10,$F$9,1),167-1),"")</f>
        <v>50009</v>
      </c>
      <c r="S217" s="88">
        <f t="shared" si="40"/>
        <v>191342.05131238827</v>
      </c>
      <c r="T217" s="88">
        <f t="shared" si="33"/>
        <v>558.08000000000004</v>
      </c>
      <c r="U217" s="88">
        <f t="shared" si="34"/>
        <v>1169.0713173952504</v>
      </c>
      <c r="V217" s="88">
        <f t="shared" si="35"/>
        <v>0</v>
      </c>
      <c r="W217" s="88">
        <f t="shared" si="36"/>
        <v>1727.1513173952503</v>
      </c>
      <c r="X217" s="88">
        <f t="shared" si="37"/>
        <v>190172.97999499302</v>
      </c>
      <c r="Y217" s="88">
        <f t="shared" si="41"/>
        <v>133607.24999999994</v>
      </c>
    </row>
    <row r="218" spans="8:25">
      <c r="H218" s="87">
        <v>168</v>
      </c>
      <c r="I218" s="86">
        <f>IFERROR(EOMONTH(DATE($C$10,$C$9,1),168-1),"")</f>
        <v>50040</v>
      </c>
      <c r="J218" s="85">
        <f t="shared" si="38"/>
        <v>174415.13217754249</v>
      </c>
      <c r="K218" s="85">
        <f t="shared" si="28"/>
        <v>292.14999999999998</v>
      </c>
      <c r="L218" s="85">
        <f t="shared" si="29"/>
        <v>1171.8276516314859</v>
      </c>
      <c r="M218" s="85">
        <f t="shared" si="30"/>
        <v>0</v>
      </c>
      <c r="N218" s="85">
        <f t="shared" si="31"/>
        <v>1463.977651631486</v>
      </c>
      <c r="O218" s="85">
        <f t="shared" si="32"/>
        <v>173243.30452591099</v>
      </c>
      <c r="P218" s="85">
        <f t="shared" si="39"/>
        <v>74191.550000000017</v>
      </c>
      <c r="Q218" s="87">
        <v>168</v>
      </c>
      <c r="R218" s="86">
        <f>IFERROR(EOMONTH(DATE($F$10,$F$9,1),168-1),"")</f>
        <v>50040</v>
      </c>
      <c r="S218" s="85">
        <f t="shared" si="40"/>
        <v>190172.97999499302</v>
      </c>
      <c r="T218" s="85">
        <f t="shared" si="33"/>
        <v>554.66999999999996</v>
      </c>
      <c r="U218" s="85">
        <f t="shared" si="34"/>
        <v>1172.4813173952507</v>
      </c>
      <c r="V218" s="85">
        <f t="shared" si="35"/>
        <v>0</v>
      </c>
      <c r="W218" s="85">
        <f t="shared" si="36"/>
        <v>1727.1513173952508</v>
      </c>
      <c r="X218" s="85">
        <f t="shared" si="37"/>
        <v>189000.49867759776</v>
      </c>
      <c r="Y218" s="85">
        <f t="shared" si="41"/>
        <v>134161.91999999995</v>
      </c>
    </row>
    <row r="219" spans="8:25">
      <c r="H219" s="93">
        <v>169</v>
      </c>
      <c r="I219" s="92">
        <f>IFERROR(EOMONTH(DATE($C$10,$C$9,1),169-1),"")</f>
        <v>50071</v>
      </c>
      <c r="J219" s="91">
        <f t="shared" si="38"/>
        <v>173243.30452591099</v>
      </c>
      <c r="K219" s="91">
        <f t="shared" si="28"/>
        <v>290.18</v>
      </c>
      <c r="L219" s="91">
        <f t="shared" si="29"/>
        <v>1173.7976516314859</v>
      </c>
      <c r="M219" s="91">
        <f t="shared" si="30"/>
        <v>0</v>
      </c>
      <c r="N219" s="91">
        <f t="shared" si="31"/>
        <v>1463.977651631486</v>
      </c>
      <c r="O219" s="91">
        <f t="shared" si="32"/>
        <v>172069.5068742795</v>
      </c>
      <c r="P219" s="91">
        <f t="shared" si="39"/>
        <v>74481.73000000001</v>
      </c>
      <c r="Q219" s="90">
        <v>169</v>
      </c>
      <c r="R219" s="89">
        <f>IFERROR(EOMONTH(DATE($F$10,$F$9,1),169-1),"")</f>
        <v>50071</v>
      </c>
      <c r="S219" s="88">
        <f t="shared" si="40"/>
        <v>189000.49867759776</v>
      </c>
      <c r="T219" s="88">
        <f t="shared" si="33"/>
        <v>551.25</v>
      </c>
      <c r="U219" s="88">
        <f t="shared" si="34"/>
        <v>1175.9013173952505</v>
      </c>
      <c r="V219" s="88">
        <f t="shared" si="35"/>
        <v>0</v>
      </c>
      <c r="W219" s="88">
        <f t="shared" si="36"/>
        <v>1727.1513173952505</v>
      </c>
      <c r="X219" s="88">
        <f t="shared" si="37"/>
        <v>187824.59736020252</v>
      </c>
      <c r="Y219" s="88">
        <f t="shared" si="41"/>
        <v>134713.16999999995</v>
      </c>
    </row>
    <row r="220" spans="8:25">
      <c r="H220" s="87">
        <v>170</v>
      </c>
      <c r="I220" s="86">
        <f>IFERROR(EOMONTH(DATE($C$10,$C$9,1),170-1),"")</f>
        <v>50099</v>
      </c>
      <c r="J220" s="85">
        <f t="shared" si="38"/>
        <v>172069.5068742795</v>
      </c>
      <c r="K220" s="85">
        <f t="shared" si="28"/>
        <v>288.22000000000003</v>
      </c>
      <c r="L220" s="85">
        <f t="shared" si="29"/>
        <v>1175.7576516314859</v>
      </c>
      <c r="M220" s="85">
        <f t="shared" si="30"/>
        <v>0</v>
      </c>
      <c r="N220" s="85">
        <f t="shared" si="31"/>
        <v>1463.977651631486</v>
      </c>
      <c r="O220" s="85">
        <f t="shared" si="32"/>
        <v>170893.74922264801</v>
      </c>
      <c r="P220" s="85">
        <f t="shared" si="39"/>
        <v>74769.950000000012</v>
      </c>
      <c r="Q220" s="87">
        <v>170</v>
      </c>
      <c r="R220" s="86">
        <f>IFERROR(EOMONTH(DATE($F$10,$F$9,1),170-1),"")</f>
        <v>50099</v>
      </c>
      <c r="S220" s="85">
        <f t="shared" si="40"/>
        <v>187824.59736020252</v>
      </c>
      <c r="T220" s="85">
        <f t="shared" si="33"/>
        <v>547.82000000000005</v>
      </c>
      <c r="U220" s="85">
        <f t="shared" si="34"/>
        <v>1179.3313173952506</v>
      </c>
      <c r="V220" s="85">
        <f t="shared" si="35"/>
        <v>0</v>
      </c>
      <c r="W220" s="85">
        <f t="shared" si="36"/>
        <v>1727.1513173952508</v>
      </c>
      <c r="X220" s="85">
        <f t="shared" si="37"/>
        <v>186645.26604280726</v>
      </c>
      <c r="Y220" s="85">
        <f t="shared" si="41"/>
        <v>135260.98999999996</v>
      </c>
    </row>
    <row r="221" spans="8:25">
      <c r="H221" s="93">
        <v>171</v>
      </c>
      <c r="I221" s="92">
        <f>IFERROR(EOMONTH(DATE($C$10,$C$9,1),171-1),"")</f>
        <v>50130</v>
      </c>
      <c r="J221" s="91">
        <f t="shared" si="38"/>
        <v>170893.74922264801</v>
      </c>
      <c r="K221" s="91">
        <f t="shared" si="28"/>
        <v>286.25</v>
      </c>
      <c r="L221" s="91">
        <f t="shared" si="29"/>
        <v>1177.727651631486</v>
      </c>
      <c r="M221" s="91">
        <f t="shared" si="30"/>
        <v>0</v>
      </c>
      <c r="N221" s="91">
        <f t="shared" si="31"/>
        <v>1463.977651631486</v>
      </c>
      <c r="O221" s="91">
        <f t="shared" si="32"/>
        <v>169716.02157101652</v>
      </c>
      <c r="P221" s="91">
        <f t="shared" si="39"/>
        <v>75056.200000000012</v>
      </c>
      <c r="Q221" s="90">
        <v>171</v>
      </c>
      <c r="R221" s="89">
        <f>IFERROR(EOMONTH(DATE($F$10,$F$9,1),171-1),"")</f>
        <v>50130</v>
      </c>
      <c r="S221" s="88">
        <f t="shared" si="40"/>
        <v>186645.26604280726</v>
      </c>
      <c r="T221" s="88">
        <f t="shared" si="33"/>
        <v>544.38</v>
      </c>
      <c r="U221" s="88">
        <f t="shared" si="34"/>
        <v>1182.7713173952507</v>
      </c>
      <c r="V221" s="88">
        <f t="shared" si="35"/>
        <v>0</v>
      </c>
      <c r="W221" s="88">
        <f t="shared" si="36"/>
        <v>1727.1513173952508</v>
      </c>
      <c r="X221" s="88">
        <f t="shared" si="37"/>
        <v>185462.49472541199</v>
      </c>
      <c r="Y221" s="88">
        <f t="shared" si="41"/>
        <v>135805.36999999997</v>
      </c>
    </row>
    <row r="222" spans="8:25">
      <c r="H222" s="87">
        <v>172</v>
      </c>
      <c r="I222" s="86">
        <f>IFERROR(EOMONTH(DATE($C$10,$C$9,1),172-1),"")</f>
        <v>50160</v>
      </c>
      <c r="J222" s="85">
        <f t="shared" si="38"/>
        <v>169716.02157101652</v>
      </c>
      <c r="K222" s="85">
        <f t="shared" si="28"/>
        <v>284.27</v>
      </c>
      <c r="L222" s="85">
        <f t="shared" si="29"/>
        <v>1179.707651631486</v>
      </c>
      <c r="M222" s="85">
        <f t="shared" si="30"/>
        <v>0</v>
      </c>
      <c r="N222" s="85">
        <f t="shared" si="31"/>
        <v>1463.977651631486</v>
      </c>
      <c r="O222" s="85">
        <f t="shared" si="32"/>
        <v>168536.31391938502</v>
      </c>
      <c r="P222" s="85">
        <f t="shared" si="39"/>
        <v>75340.470000000016</v>
      </c>
      <c r="Q222" s="87">
        <v>172</v>
      </c>
      <c r="R222" s="86">
        <f>IFERROR(EOMONTH(DATE($F$10,$F$9,1),172-1),"")</f>
        <v>50160</v>
      </c>
      <c r="S222" s="85">
        <f t="shared" si="40"/>
        <v>185462.49472541199</v>
      </c>
      <c r="T222" s="85">
        <f t="shared" si="33"/>
        <v>540.92999999999995</v>
      </c>
      <c r="U222" s="85">
        <f t="shared" si="34"/>
        <v>1186.2213173952505</v>
      </c>
      <c r="V222" s="85">
        <f t="shared" si="35"/>
        <v>0</v>
      </c>
      <c r="W222" s="85">
        <f t="shared" si="36"/>
        <v>1727.1513173952503</v>
      </c>
      <c r="X222" s="85">
        <f t="shared" si="37"/>
        <v>184276.27340801674</v>
      </c>
      <c r="Y222" s="85">
        <f t="shared" si="41"/>
        <v>136346.29999999996</v>
      </c>
    </row>
    <row r="223" spans="8:25">
      <c r="H223" s="93">
        <v>173</v>
      </c>
      <c r="I223" s="92">
        <f>IFERROR(EOMONTH(DATE($C$10,$C$9,1),173-1),"")</f>
        <v>50191</v>
      </c>
      <c r="J223" s="91">
        <f t="shared" si="38"/>
        <v>168536.31391938502</v>
      </c>
      <c r="K223" s="91">
        <f t="shared" si="28"/>
        <v>282.3</v>
      </c>
      <c r="L223" s="91">
        <f t="shared" si="29"/>
        <v>1181.677651631486</v>
      </c>
      <c r="M223" s="91">
        <f t="shared" si="30"/>
        <v>0</v>
      </c>
      <c r="N223" s="91">
        <f t="shared" si="31"/>
        <v>1463.977651631486</v>
      </c>
      <c r="O223" s="91">
        <f t="shared" si="32"/>
        <v>167354.63626775352</v>
      </c>
      <c r="P223" s="91">
        <f t="shared" si="39"/>
        <v>75622.770000000019</v>
      </c>
      <c r="Q223" s="90">
        <v>173</v>
      </c>
      <c r="R223" s="89">
        <f>IFERROR(EOMONTH(DATE($F$10,$F$9,1),173-1),"")</f>
        <v>50191</v>
      </c>
      <c r="S223" s="88">
        <f t="shared" si="40"/>
        <v>184276.27340801674</v>
      </c>
      <c r="T223" s="88">
        <f t="shared" si="33"/>
        <v>537.47</v>
      </c>
      <c r="U223" s="88">
        <f t="shared" si="34"/>
        <v>1189.6813173952505</v>
      </c>
      <c r="V223" s="88">
        <f t="shared" si="35"/>
        <v>0</v>
      </c>
      <c r="W223" s="88">
        <f t="shared" si="36"/>
        <v>1727.1513173952505</v>
      </c>
      <c r="X223" s="88">
        <f t="shared" si="37"/>
        <v>183086.5920906215</v>
      </c>
      <c r="Y223" s="88">
        <f t="shared" si="41"/>
        <v>136883.76999999996</v>
      </c>
    </row>
    <row r="224" spans="8:25">
      <c r="H224" s="87">
        <v>174</v>
      </c>
      <c r="I224" s="86">
        <f>IFERROR(EOMONTH(DATE($C$10,$C$9,1),174-1),"")</f>
        <v>50221</v>
      </c>
      <c r="J224" s="85">
        <f t="shared" si="38"/>
        <v>167354.63626775352</v>
      </c>
      <c r="K224" s="85">
        <f t="shared" si="28"/>
        <v>280.32</v>
      </c>
      <c r="L224" s="85">
        <f t="shared" si="29"/>
        <v>1183.657651631486</v>
      </c>
      <c r="M224" s="85">
        <f t="shared" si="30"/>
        <v>0</v>
      </c>
      <c r="N224" s="85">
        <f t="shared" si="31"/>
        <v>1463.977651631486</v>
      </c>
      <c r="O224" s="85">
        <f t="shared" si="32"/>
        <v>166170.97861612204</v>
      </c>
      <c r="P224" s="85">
        <f t="shared" si="39"/>
        <v>75903.090000000026</v>
      </c>
      <c r="Q224" s="87">
        <v>174</v>
      </c>
      <c r="R224" s="86">
        <f>IFERROR(EOMONTH(DATE($F$10,$F$9,1),174-1),"")</f>
        <v>50221</v>
      </c>
      <c r="S224" s="85">
        <f t="shared" si="40"/>
        <v>183086.5920906215</v>
      </c>
      <c r="T224" s="85">
        <f t="shared" si="33"/>
        <v>534</v>
      </c>
      <c r="U224" s="85">
        <f t="shared" si="34"/>
        <v>1193.1513173952505</v>
      </c>
      <c r="V224" s="85">
        <f t="shared" si="35"/>
        <v>0</v>
      </c>
      <c r="W224" s="85">
        <f t="shared" si="36"/>
        <v>1727.1513173952505</v>
      </c>
      <c r="X224" s="85">
        <f t="shared" si="37"/>
        <v>181893.44077322626</v>
      </c>
      <c r="Y224" s="85">
        <f t="shared" si="41"/>
        <v>137417.76999999996</v>
      </c>
    </row>
    <row r="225" spans="8:25">
      <c r="H225" s="93">
        <v>175</v>
      </c>
      <c r="I225" s="92">
        <f>IFERROR(EOMONTH(DATE($C$10,$C$9,1),175-1),"")</f>
        <v>50252</v>
      </c>
      <c r="J225" s="91">
        <f t="shared" si="38"/>
        <v>166170.97861612204</v>
      </c>
      <c r="K225" s="91">
        <f t="shared" si="28"/>
        <v>278.33999999999997</v>
      </c>
      <c r="L225" s="91">
        <f t="shared" si="29"/>
        <v>1185.6376516314861</v>
      </c>
      <c r="M225" s="91">
        <f t="shared" si="30"/>
        <v>0</v>
      </c>
      <c r="N225" s="91">
        <f t="shared" si="31"/>
        <v>1463.977651631486</v>
      </c>
      <c r="O225" s="91">
        <f t="shared" si="32"/>
        <v>164985.34096449055</v>
      </c>
      <c r="P225" s="91">
        <f t="shared" si="39"/>
        <v>76181.430000000022</v>
      </c>
      <c r="Q225" s="90">
        <v>175</v>
      </c>
      <c r="R225" s="89">
        <f>IFERROR(EOMONTH(DATE($F$10,$F$9,1),175-1),"")</f>
        <v>50252</v>
      </c>
      <c r="S225" s="88">
        <f t="shared" si="40"/>
        <v>181893.44077322626</v>
      </c>
      <c r="T225" s="88">
        <f t="shared" si="33"/>
        <v>530.52</v>
      </c>
      <c r="U225" s="88">
        <f t="shared" si="34"/>
        <v>1196.6313173952506</v>
      </c>
      <c r="V225" s="88">
        <f t="shared" si="35"/>
        <v>0</v>
      </c>
      <c r="W225" s="88">
        <f t="shared" si="36"/>
        <v>1727.1513173952505</v>
      </c>
      <c r="X225" s="88">
        <f t="shared" si="37"/>
        <v>180696.80945583101</v>
      </c>
      <c r="Y225" s="88">
        <f t="shared" si="41"/>
        <v>137948.28999999995</v>
      </c>
    </row>
    <row r="226" spans="8:25">
      <c r="H226" s="87">
        <v>176</v>
      </c>
      <c r="I226" s="86">
        <f>IFERROR(EOMONTH(DATE($C$10,$C$9,1),176-1),"")</f>
        <v>50283</v>
      </c>
      <c r="J226" s="85">
        <f t="shared" si="38"/>
        <v>164985.34096449055</v>
      </c>
      <c r="K226" s="85">
        <f t="shared" si="28"/>
        <v>276.35000000000002</v>
      </c>
      <c r="L226" s="85">
        <f t="shared" si="29"/>
        <v>1187.6276516314861</v>
      </c>
      <c r="M226" s="85">
        <f t="shared" si="30"/>
        <v>0</v>
      </c>
      <c r="N226" s="85">
        <f t="shared" si="31"/>
        <v>1463.977651631486</v>
      </c>
      <c r="O226" s="85">
        <f t="shared" si="32"/>
        <v>163797.71331285906</v>
      </c>
      <c r="P226" s="85">
        <f t="shared" si="39"/>
        <v>76457.780000000028</v>
      </c>
      <c r="Q226" s="87">
        <v>176</v>
      </c>
      <c r="R226" s="86">
        <f>IFERROR(EOMONTH(DATE($F$10,$F$9,1),176-1),"")</f>
        <v>50283</v>
      </c>
      <c r="S226" s="85">
        <f t="shared" si="40"/>
        <v>180696.80945583101</v>
      </c>
      <c r="T226" s="85">
        <f t="shared" si="33"/>
        <v>527.03</v>
      </c>
      <c r="U226" s="85">
        <f t="shared" si="34"/>
        <v>1200.1213173952506</v>
      </c>
      <c r="V226" s="85">
        <f t="shared" si="35"/>
        <v>0</v>
      </c>
      <c r="W226" s="85">
        <f t="shared" si="36"/>
        <v>1727.1513173952505</v>
      </c>
      <c r="X226" s="85">
        <f t="shared" si="37"/>
        <v>179496.68813843577</v>
      </c>
      <c r="Y226" s="85">
        <f t="shared" si="41"/>
        <v>138475.31999999995</v>
      </c>
    </row>
    <row r="227" spans="8:25">
      <c r="H227" s="93">
        <v>177</v>
      </c>
      <c r="I227" s="92">
        <f>IFERROR(EOMONTH(DATE($C$10,$C$9,1),177-1),"")</f>
        <v>50313</v>
      </c>
      <c r="J227" s="91">
        <f t="shared" si="38"/>
        <v>163797.71331285906</v>
      </c>
      <c r="K227" s="91">
        <f t="shared" si="28"/>
        <v>274.36</v>
      </c>
      <c r="L227" s="91">
        <f t="shared" si="29"/>
        <v>1189.6176516314858</v>
      </c>
      <c r="M227" s="91">
        <f t="shared" si="30"/>
        <v>0</v>
      </c>
      <c r="N227" s="91">
        <f t="shared" si="31"/>
        <v>1463.977651631486</v>
      </c>
      <c r="O227" s="91">
        <f t="shared" si="32"/>
        <v>162608.09566122759</v>
      </c>
      <c r="P227" s="91">
        <f t="shared" si="39"/>
        <v>76732.140000000029</v>
      </c>
      <c r="Q227" s="90">
        <v>177</v>
      </c>
      <c r="R227" s="89">
        <f>IFERROR(EOMONTH(DATE($F$10,$F$9,1),177-1),"")</f>
        <v>50313</v>
      </c>
      <c r="S227" s="88">
        <f t="shared" si="40"/>
        <v>179496.68813843577</v>
      </c>
      <c r="T227" s="88">
        <f t="shared" si="33"/>
        <v>523.53</v>
      </c>
      <c r="U227" s="88">
        <f t="shared" si="34"/>
        <v>1203.6213173952506</v>
      </c>
      <c r="V227" s="88">
        <f t="shared" si="35"/>
        <v>0</v>
      </c>
      <c r="W227" s="88">
        <f t="shared" si="36"/>
        <v>1727.1513173952505</v>
      </c>
      <c r="X227" s="88">
        <f t="shared" si="37"/>
        <v>178293.06682104053</v>
      </c>
      <c r="Y227" s="88">
        <f t="shared" si="41"/>
        <v>138998.84999999995</v>
      </c>
    </row>
    <row r="228" spans="8:25">
      <c r="H228" s="87">
        <v>178</v>
      </c>
      <c r="I228" s="86">
        <f>IFERROR(EOMONTH(DATE($C$10,$C$9,1),178-1),"")</f>
        <v>50344</v>
      </c>
      <c r="J228" s="85">
        <f t="shared" si="38"/>
        <v>162608.09566122759</v>
      </c>
      <c r="K228" s="85">
        <f t="shared" si="28"/>
        <v>272.37</v>
      </c>
      <c r="L228" s="85">
        <f t="shared" si="29"/>
        <v>1191.6076516314861</v>
      </c>
      <c r="M228" s="85">
        <f t="shared" si="30"/>
        <v>0</v>
      </c>
      <c r="N228" s="85">
        <f t="shared" si="31"/>
        <v>1463.977651631486</v>
      </c>
      <c r="O228" s="85">
        <f t="shared" si="32"/>
        <v>161416.4880095961</v>
      </c>
      <c r="P228" s="85">
        <f t="shared" si="39"/>
        <v>77004.510000000024</v>
      </c>
      <c r="Q228" s="87">
        <v>178</v>
      </c>
      <c r="R228" s="86">
        <f>IFERROR(EOMONTH(DATE($F$10,$F$9,1),178-1),"")</f>
        <v>50344</v>
      </c>
      <c r="S228" s="85">
        <f t="shared" si="40"/>
        <v>178293.06682104053</v>
      </c>
      <c r="T228" s="85">
        <f t="shared" si="33"/>
        <v>520.02</v>
      </c>
      <c r="U228" s="85">
        <f t="shared" si="34"/>
        <v>1207.1313173952506</v>
      </c>
      <c r="V228" s="85">
        <f t="shared" si="35"/>
        <v>0</v>
      </c>
      <c r="W228" s="85">
        <f t="shared" si="36"/>
        <v>1727.1513173952505</v>
      </c>
      <c r="X228" s="85">
        <f t="shared" si="37"/>
        <v>177085.93550364528</v>
      </c>
      <c r="Y228" s="85">
        <f t="shared" si="41"/>
        <v>139518.86999999994</v>
      </c>
    </row>
    <row r="229" spans="8:25">
      <c r="H229" s="93">
        <v>179</v>
      </c>
      <c r="I229" s="92">
        <f>IFERROR(EOMONTH(DATE($C$10,$C$9,1),179-1),"")</f>
        <v>50374</v>
      </c>
      <c r="J229" s="91">
        <f t="shared" si="38"/>
        <v>161416.4880095961</v>
      </c>
      <c r="K229" s="91">
        <f t="shared" si="28"/>
        <v>270.37</v>
      </c>
      <c r="L229" s="91">
        <f t="shared" si="29"/>
        <v>1193.6076516314861</v>
      </c>
      <c r="M229" s="91">
        <f t="shared" si="30"/>
        <v>0</v>
      </c>
      <c r="N229" s="91">
        <f t="shared" si="31"/>
        <v>1463.977651631486</v>
      </c>
      <c r="O229" s="91">
        <f t="shared" si="32"/>
        <v>160222.8803579646</v>
      </c>
      <c r="P229" s="91">
        <f t="shared" si="39"/>
        <v>77274.880000000019</v>
      </c>
      <c r="Q229" s="90">
        <v>179</v>
      </c>
      <c r="R229" s="89">
        <f>IFERROR(EOMONTH(DATE($F$10,$F$9,1),179-1),"")</f>
        <v>50374</v>
      </c>
      <c r="S229" s="88">
        <f t="shared" si="40"/>
        <v>177085.93550364528</v>
      </c>
      <c r="T229" s="88">
        <f t="shared" si="33"/>
        <v>516.5</v>
      </c>
      <c r="U229" s="88">
        <f t="shared" si="34"/>
        <v>1210.6513173952505</v>
      </c>
      <c r="V229" s="88">
        <f t="shared" si="35"/>
        <v>0</v>
      </c>
      <c r="W229" s="88">
        <f t="shared" si="36"/>
        <v>1727.1513173952505</v>
      </c>
      <c r="X229" s="88">
        <f t="shared" si="37"/>
        <v>175875.28418625004</v>
      </c>
      <c r="Y229" s="88">
        <f t="shared" si="41"/>
        <v>140035.36999999994</v>
      </c>
    </row>
    <row r="230" spans="8:25">
      <c r="H230" s="87">
        <v>180</v>
      </c>
      <c r="I230" s="86">
        <f>IFERROR(EOMONTH(DATE($C$10,$C$9,1),180-1),"")</f>
        <v>50405</v>
      </c>
      <c r="J230" s="85">
        <f t="shared" si="38"/>
        <v>160222.8803579646</v>
      </c>
      <c r="K230" s="85">
        <f t="shared" si="28"/>
        <v>268.37</v>
      </c>
      <c r="L230" s="85">
        <f t="shared" si="29"/>
        <v>1195.6076516314861</v>
      </c>
      <c r="M230" s="85">
        <f t="shared" si="30"/>
        <v>0</v>
      </c>
      <c r="N230" s="85">
        <f t="shared" si="31"/>
        <v>1463.977651631486</v>
      </c>
      <c r="O230" s="85">
        <f t="shared" si="32"/>
        <v>159027.27270633311</v>
      </c>
      <c r="P230" s="85">
        <f t="shared" si="39"/>
        <v>77543.250000000015</v>
      </c>
      <c r="Q230" s="87">
        <v>180</v>
      </c>
      <c r="R230" s="86">
        <f>IFERROR(EOMONTH(DATE($F$10,$F$9,1),180-1),"")</f>
        <v>50405</v>
      </c>
      <c r="S230" s="85">
        <f t="shared" si="40"/>
        <v>175875.28418625004</v>
      </c>
      <c r="T230" s="85">
        <f t="shared" si="33"/>
        <v>512.97</v>
      </c>
      <c r="U230" s="85">
        <f t="shared" si="34"/>
        <v>1214.1813173952505</v>
      </c>
      <c r="V230" s="85">
        <f t="shared" si="35"/>
        <v>0</v>
      </c>
      <c r="W230" s="85">
        <f t="shared" si="36"/>
        <v>1727.1513173952505</v>
      </c>
      <c r="X230" s="85">
        <f t="shared" si="37"/>
        <v>174661.1028688548</v>
      </c>
      <c r="Y230" s="85">
        <f t="shared" si="41"/>
        <v>140548.33999999994</v>
      </c>
    </row>
    <row r="231" spans="8:25">
      <c r="H231" s="93">
        <v>181</v>
      </c>
      <c r="I231" s="92">
        <f>IFERROR(EOMONTH(DATE($C$10,$C$9,1),181-1),"")</f>
        <v>50436</v>
      </c>
      <c r="J231" s="91">
        <f t="shared" si="38"/>
        <v>159027.27270633311</v>
      </c>
      <c r="K231" s="91">
        <f t="shared" si="28"/>
        <v>266.37</v>
      </c>
      <c r="L231" s="91">
        <f t="shared" si="29"/>
        <v>1197.6076516314861</v>
      </c>
      <c r="M231" s="91">
        <f t="shared" si="30"/>
        <v>0</v>
      </c>
      <c r="N231" s="91">
        <f t="shared" si="31"/>
        <v>1463.977651631486</v>
      </c>
      <c r="O231" s="91">
        <f t="shared" si="32"/>
        <v>157829.66505470162</v>
      </c>
      <c r="P231" s="91">
        <f t="shared" si="39"/>
        <v>77809.62000000001</v>
      </c>
      <c r="Q231" s="90">
        <v>181</v>
      </c>
      <c r="R231" s="89">
        <f>IFERROR(EOMONTH(DATE($F$10,$F$9,1),181-1),"")</f>
        <v>50436</v>
      </c>
      <c r="S231" s="88">
        <f t="shared" si="40"/>
        <v>174661.1028688548</v>
      </c>
      <c r="T231" s="88">
        <f t="shared" si="33"/>
        <v>509.43</v>
      </c>
      <c r="U231" s="88">
        <f t="shared" si="34"/>
        <v>1217.7213173952505</v>
      </c>
      <c r="V231" s="88">
        <f t="shared" si="35"/>
        <v>0</v>
      </c>
      <c r="W231" s="88">
        <f t="shared" si="36"/>
        <v>1727.1513173952505</v>
      </c>
      <c r="X231" s="88">
        <f t="shared" si="37"/>
        <v>173443.38155145955</v>
      </c>
      <c r="Y231" s="88">
        <f t="shared" si="41"/>
        <v>141057.76999999993</v>
      </c>
    </row>
    <row r="232" spans="8:25">
      <c r="H232" s="87">
        <v>182</v>
      </c>
      <c r="I232" s="86">
        <f>IFERROR(EOMONTH(DATE($C$10,$C$9,1),182-1),"")</f>
        <v>50464</v>
      </c>
      <c r="J232" s="85">
        <f t="shared" si="38"/>
        <v>157829.66505470162</v>
      </c>
      <c r="K232" s="85">
        <f t="shared" si="28"/>
        <v>264.36</v>
      </c>
      <c r="L232" s="85">
        <f t="shared" si="29"/>
        <v>1199.6176516314858</v>
      </c>
      <c r="M232" s="85">
        <f t="shared" si="30"/>
        <v>0</v>
      </c>
      <c r="N232" s="85">
        <f t="shared" si="31"/>
        <v>1463.977651631486</v>
      </c>
      <c r="O232" s="85">
        <f t="shared" si="32"/>
        <v>156630.04740307014</v>
      </c>
      <c r="P232" s="85">
        <f t="shared" si="39"/>
        <v>78073.98000000001</v>
      </c>
      <c r="Q232" s="87">
        <v>182</v>
      </c>
      <c r="R232" s="86">
        <f>IFERROR(EOMONTH(DATE($F$10,$F$9,1),182-1),"")</f>
        <v>50464</v>
      </c>
      <c r="S232" s="85">
        <f t="shared" si="40"/>
        <v>173443.38155145955</v>
      </c>
      <c r="T232" s="85">
        <f t="shared" si="33"/>
        <v>505.88</v>
      </c>
      <c r="U232" s="85">
        <f t="shared" si="34"/>
        <v>1221.2713173952507</v>
      </c>
      <c r="V232" s="85">
        <f t="shared" si="35"/>
        <v>0</v>
      </c>
      <c r="W232" s="85">
        <f t="shared" si="36"/>
        <v>1727.1513173952508</v>
      </c>
      <c r="X232" s="85">
        <f t="shared" si="37"/>
        <v>172222.11023406428</v>
      </c>
      <c r="Y232" s="85">
        <f t="shared" si="41"/>
        <v>141563.64999999994</v>
      </c>
    </row>
    <row r="233" spans="8:25">
      <c r="H233" s="93">
        <v>183</v>
      </c>
      <c r="I233" s="92">
        <f>IFERROR(EOMONTH(DATE($C$10,$C$9,1),183-1),"")</f>
        <v>50495</v>
      </c>
      <c r="J233" s="91">
        <f t="shared" si="38"/>
        <v>156630.04740307014</v>
      </c>
      <c r="K233" s="91">
        <f t="shared" si="28"/>
        <v>262.36</v>
      </c>
      <c r="L233" s="91">
        <f t="shared" si="29"/>
        <v>1201.6176516314858</v>
      </c>
      <c r="M233" s="91">
        <f t="shared" si="30"/>
        <v>0</v>
      </c>
      <c r="N233" s="91">
        <f t="shared" si="31"/>
        <v>1463.977651631486</v>
      </c>
      <c r="O233" s="91">
        <f t="shared" si="32"/>
        <v>155428.42975143867</v>
      </c>
      <c r="P233" s="91">
        <f t="shared" si="39"/>
        <v>78336.340000000011</v>
      </c>
      <c r="Q233" s="90">
        <v>183</v>
      </c>
      <c r="R233" s="89">
        <f>IFERROR(EOMONTH(DATE($F$10,$F$9,1),183-1),"")</f>
        <v>50495</v>
      </c>
      <c r="S233" s="88">
        <f t="shared" si="40"/>
        <v>172222.11023406428</v>
      </c>
      <c r="T233" s="88">
        <f t="shared" si="33"/>
        <v>502.31</v>
      </c>
      <c r="U233" s="88">
        <f t="shared" si="34"/>
        <v>1224.8413173952506</v>
      </c>
      <c r="V233" s="88">
        <f t="shared" si="35"/>
        <v>0</v>
      </c>
      <c r="W233" s="88">
        <f t="shared" si="36"/>
        <v>1727.1513173952505</v>
      </c>
      <c r="X233" s="88">
        <f t="shared" si="37"/>
        <v>170997.26891666904</v>
      </c>
      <c r="Y233" s="88">
        <f t="shared" si="41"/>
        <v>142065.95999999993</v>
      </c>
    </row>
    <row r="234" spans="8:25">
      <c r="H234" s="87">
        <v>184</v>
      </c>
      <c r="I234" s="86">
        <f>IFERROR(EOMONTH(DATE($C$10,$C$9,1),184-1),"")</f>
        <v>50525</v>
      </c>
      <c r="J234" s="85">
        <f t="shared" si="38"/>
        <v>155428.42975143867</v>
      </c>
      <c r="K234" s="85">
        <f t="shared" si="28"/>
        <v>260.33999999999997</v>
      </c>
      <c r="L234" s="85">
        <f t="shared" si="29"/>
        <v>1203.6376516314861</v>
      </c>
      <c r="M234" s="85">
        <f t="shared" si="30"/>
        <v>0</v>
      </c>
      <c r="N234" s="85">
        <f t="shared" si="31"/>
        <v>1463.977651631486</v>
      </c>
      <c r="O234" s="85">
        <f t="shared" si="32"/>
        <v>154224.79209980718</v>
      </c>
      <c r="P234" s="85">
        <f t="shared" si="39"/>
        <v>78596.680000000008</v>
      </c>
      <c r="Q234" s="87">
        <v>184</v>
      </c>
      <c r="R234" s="86">
        <f>IFERROR(EOMONTH(DATE($F$10,$F$9,1),184-1),"")</f>
        <v>50525</v>
      </c>
      <c r="S234" s="85">
        <f t="shared" si="40"/>
        <v>170997.26891666904</v>
      </c>
      <c r="T234" s="85">
        <f t="shared" si="33"/>
        <v>498.74</v>
      </c>
      <c r="U234" s="85">
        <f t="shared" si="34"/>
        <v>1228.4113173952505</v>
      </c>
      <c r="V234" s="85">
        <f t="shared" si="35"/>
        <v>0</v>
      </c>
      <c r="W234" s="85">
        <f t="shared" si="36"/>
        <v>1727.1513173952505</v>
      </c>
      <c r="X234" s="85">
        <f t="shared" si="37"/>
        <v>169768.85759927379</v>
      </c>
      <c r="Y234" s="85">
        <f t="shared" si="41"/>
        <v>142564.69999999992</v>
      </c>
    </row>
    <row r="235" spans="8:25">
      <c r="H235" s="93">
        <v>185</v>
      </c>
      <c r="I235" s="92">
        <f>IFERROR(EOMONTH(DATE($C$10,$C$9,1),185-1),"")</f>
        <v>50556</v>
      </c>
      <c r="J235" s="91">
        <f t="shared" si="38"/>
        <v>154224.79209980718</v>
      </c>
      <c r="K235" s="91">
        <f t="shared" si="28"/>
        <v>258.33</v>
      </c>
      <c r="L235" s="91">
        <f t="shared" si="29"/>
        <v>1205.647651631486</v>
      </c>
      <c r="M235" s="91">
        <f t="shared" si="30"/>
        <v>0</v>
      </c>
      <c r="N235" s="91">
        <f t="shared" si="31"/>
        <v>1463.977651631486</v>
      </c>
      <c r="O235" s="91">
        <f t="shared" si="32"/>
        <v>153019.14444817571</v>
      </c>
      <c r="P235" s="91">
        <f t="shared" si="39"/>
        <v>78855.010000000009</v>
      </c>
      <c r="Q235" s="90">
        <v>185</v>
      </c>
      <c r="R235" s="89">
        <f>IFERROR(EOMONTH(DATE($F$10,$F$9,1),185-1),"")</f>
        <v>50556</v>
      </c>
      <c r="S235" s="88">
        <f t="shared" si="40"/>
        <v>169768.85759927379</v>
      </c>
      <c r="T235" s="88">
        <f t="shared" si="33"/>
        <v>495.16</v>
      </c>
      <c r="U235" s="88">
        <f t="shared" si="34"/>
        <v>1231.9913173952505</v>
      </c>
      <c r="V235" s="88">
        <f t="shared" si="35"/>
        <v>0</v>
      </c>
      <c r="W235" s="88">
        <f t="shared" si="36"/>
        <v>1727.1513173952505</v>
      </c>
      <c r="X235" s="88">
        <f t="shared" si="37"/>
        <v>168536.86628187855</v>
      </c>
      <c r="Y235" s="88">
        <f t="shared" si="41"/>
        <v>143059.85999999993</v>
      </c>
    </row>
    <row r="236" spans="8:25">
      <c r="H236" s="87">
        <v>186</v>
      </c>
      <c r="I236" s="86">
        <f>IFERROR(EOMONTH(DATE($C$10,$C$9,1),186-1),"")</f>
        <v>50586</v>
      </c>
      <c r="J236" s="85">
        <f t="shared" si="38"/>
        <v>153019.14444817571</v>
      </c>
      <c r="K236" s="85">
        <f t="shared" si="28"/>
        <v>256.31</v>
      </c>
      <c r="L236" s="85">
        <f t="shared" si="29"/>
        <v>1207.667651631486</v>
      </c>
      <c r="M236" s="85">
        <f t="shared" si="30"/>
        <v>0</v>
      </c>
      <c r="N236" s="85">
        <f t="shared" si="31"/>
        <v>1463.977651631486</v>
      </c>
      <c r="O236" s="85">
        <f t="shared" si="32"/>
        <v>151811.47679654422</v>
      </c>
      <c r="P236" s="85">
        <f t="shared" si="39"/>
        <v>79111.320000000007</v>
      </c>
      <c r="Q236" s="87">
        <v>186</v>
      </c>
      <c r="R236" s="86">
        <f>IFERROR(EOMONTH(DATE($F$10,$F$9,1),186-1),"")</f>
        <v>50586</v>
      </c>
      <c r="S236" s="85">
        <f t="shared" si="40"/>
        <v>168536.86628187855</v>
      </c>
      <c r="T236" s="85">
        <f t="shared" si="33"/>
        <v>491.57</v>
      </c>
      <c r="U236" s="85">
        <f t="shared" si="34"/>
        <v>1235.5813173952506</v>
      </c>
      <c r="V236" s="85">
        <f t="shared" si="35"/>
        <v>0</v>
      </c>
      <c r="W236" s="85">
        <f t="shared" si="36"/>
        <v>1727.1513173952505</v>
      </c>
      <c r="X236" s="85">
        <f t="shared" si="37"/>
        <v>167301.28496448329</v>
      </c>
      <c r="Y236" s="85">
        <f t="shared" si="41"/>
        <v>143551.42999999993</v>
      </c>
    </row>
    <row r="237" spans="8:25">
      <c r="H237" s="93">
        <v>187</v>
      </c>
      <c r="I237" s="92">
        <f>IFERROR(EOMONTH(DATE($C$10,$C$9,1),187-1),"")</f>
        <v>50617</v>
      </c>
      <c r="J237" s="91">
        <f t="shared" si="38"/>
        <v>151811.47679654422</v>
      </c>
      <c r="K237" s="91">
        <f t="shared" si="28"/>
        <v>254.28</v>
      </c>
      <c r="L237" s="91">
        <f t="shared" si="29"/>
        <v>1209.697651631486</v>
      </c>
      <c r="M237" s="91">
        <f t="shared" si="30"/>
        <v>0</v>
      </c>
      <c r="N237" s="91">
        <f t="shared" si="31"/>
        <v>1463.977651631486</v>
      </c>
      <c r="O237" s="91">
        <f t="shared" si="32"/>
        <v>150601.77914491273</v>
      </c>
      <c r="P237" s="91">
        <f t="shared" si="39"/>
        <v>79365.600000000006</v>
      </c>
      <c r="Q237" s="90">
        <v>187</v>
      </c>
      <c r="R237" s="89">
        <f>IFERROR(EOMONTH(DATE($F$10,$F$9,1),187-1),"")</f>
        <v>50617</v>
      </c>
      <c r="S237" s="88">
        <f t="shared" si="40"/>
        <v>167301.28496448329</v>
      </c>
      <c r="T237" s="88">
        <f t="shared" si="33"/>
        <v>487.96</v>
      </c>
      <c r="U237" s="88">
        <f t="shared" si="34"/>
        <v>1239.1913173952505</v>
      </c>
      <c r="V237" s="88">
        <f t="shared" si="35"/>
        <v>0</v>
      </c>
      <c r="W237" s="88">
        <f t="shared" si="36"/>
        <v>1727.1513173952505</v>
      </c>
      <c r="X237" s="88">
        <f t="shared" si="37"/>
        <v>166062.09364708804</v>
      </c>
      <c r="Y237" s="88">
        <f t="shared" si="41"/>
        <v>144039.38999999993</v>
      </c>
    </row>
    <row r="238" spans="8:25">
      <c r="H238" s="87">
        <v>188</v>
      </c>
      <c r="I238" s="86">
        <f>IFERROR(EOMONTH(DATE($C$10,$C$9,1),188-1),"")</f>
        <v>50648</v>
      </c>
      <c r="J238" s="85">
        <f t="shared" si="38"/>
        <v>150601.77914491273</v>
      </c>
      <c r="K238" s="85">
        <f t="shared" si="28"/>
        <v>252.26</v>
      </c>
      <c r="L238" s="85">
        <f t="shared" si="29"/>
        <v>1211.717651631486</v>
      </c>
      <c r="M238" s="85">
        <f t="shared" si="30"/>
        <v>0</v>
      </c>
      <c r="N238" s="85">
        <f t="shared" si="31"/>
        <v>1463.977651631486</v>
      </c>
      <c r="O238" s="85">
        <f t="shared" si="32"/>
        <v>149390.06149328125</v>
      </c>
      <c r="P238" s="85">
        <f t="shared" si="39"/>
        <v>79617.86</v>
      </c>
      <c r="Q238" s="87">
        <v>188</v>
      </c>
      <c r="R238" s="86">
        <f>IFERROR(EOMONTH(DATE($F$10,$F$9,1),188-1),"")</f>
        <v>50648</v>
      </c>
      <c r="S238" s="85">
        <f t="shared" si="40"/>
        <v>166062.09364708804</v>
      </c>
      <c r="T238" s="85">
        <f t="shared" si="33"/>
        <v>484.35</v>
      </c>
      <c r="U238" s="85">
        <f t="shared" si="34"/>
        <v>1242.8013173952504</v>
      </c>
      <c r="V238" s="85">
        <f t="shared" si="35"/>
        <v>0</v>
      </c>
      <c r="W238" s="85">
        <f t="shared" si="36"/>
        <v>1727.1513173952503</v>
      </c>
      <c r="X238" s="85">
        <f t="shared" si="37"/>
        <v>164819.29232969278</v>
      </c>
      <c r="Y238" s="85">
        <f t="shared" si="41"/>
        <v>144523.73999999993</v>
      </c>
    </row>
    <row r="239" spans="8:25">
      <c r="H239" s="93">
        <v>189</v>
      </c>
      <c r="I239" s="92">
        <f>IFERROR(EOMONTH(DATE($C$10,$C$9,1),189-1),"")</f>
        <v>50678</v>
      </c>
      <c r="J239" s="91">
        <f t="shared" si="38"/>
        <v>149390.06149328125</v>
      </c>
      <c r="K239" s="91">
        <f t="shared" si="28"/>
        <v>250.23</v>
      </c>
      <c r="L239" s="91">
        <f t="shared" si="29"/>
        <v>1213.747651631486</v>
      </c>
      <c r="M239" s="91">
        <f t="shared" si="30"/>
        <v>0</v>
      </c>
      <c r="N239" s="91">
        <f t="shared" si="31"/>
        <v>1463.977651631486</v>
      </c>
      <c r="O239" s="91">
        <f t="shared" si="32"/>
        <v>148176.31384164977</v>
      </c>
      <c r="P239" s="91">
        <f t="shared" si="39"/>
        <v>79868.09</v>
      </c>
      <c r="Q239" s="90">
        <v>189</v>
      </c>
      <c r="R239" s="89">
        <f>IFERROR(EOMONTH(DATE($F$10,$F$9,1),189-1),"")</f>
        <v>50678</v>
      </c>
      <c r="S239" s="88">
        <f t="shared" si="40"/>
        <v>164819.29232969278</v>
      </c>
      <c r="T239" s="88">
        <f t="shared" si="33"/>
        <v>480.72</v>
      </c>
      <c r="U239" s="88">
        <f t="shared" si="34"/>
        <v>1246.4313173952505</v>
      </c>
      <c r="V239" s="88">
        <f t="shared" si="35"/>
        <v>0</v>
      </c>
      <c r="W239" s="88">
        <f t="shared" si="36"/>
        <v>1727.1513173952505</v>
      </c>
      <c r="X239" s="88">
        <f t="shared" si="37"/>
        <v>163572.86101229754</v>
      </c>
      <c r="Y239" s="88">
        <f t="shared" si="41"/>
        <v>145004.45999999993</v>
      </c>
    </row>
    <row r="240" spans="8:25">
      <c r="H240" s="87">
        <v>190</v>
      </c>
      <c r="I240" s="86">
        <f>IFERROR(EOMONTH(DATE($C$10,$C$9,1),190-1),"")</f>
        <v>50709</v>
      </c>
      <c r="J240" s="85">
        <f t="shared" si="38"/>
        <v>148176.31384164977</v>
      </c>
      <c r="K240" s="85">
        <f t="shared" si="28"/>
        <v>248.2</v>
      </c>
      <c r="L240" s="85">
        <f t="shared" si="29"/>
        <v>1215.7776516314859</v>
      </c>
      <c r="M240" s="85">
        <f t="shared" si="30"/>
        <v>0</v>
      </c>
      <c r="N240" s="85">
        <f t="shared" si="31"/>
        <v>1463.977651631486</v>
      </c>
      <c r="O240" s="85">
        <f t="shared" si="32"/>
        <v>146960.53619001829</v>
      </c>
      <c r="P240" s="85">
        <f t="shared" si="39"/>
        <v>80116.289999999994</v>
      </c>
      <c r="Q240" s="87">
        <v>190</v>
      </c>
      <c r="R240" s="86">
        <f>IFERROR(EOMONTH(DATE($F$10,$F$9,1),190-1),"")</f>
        <v>50709</v>
      </c>
      <c r="S240" s="85">
        <f t="shared" si="40"/>
        <v>163572.86101229754</v>
      </c>
      <c r="T240" s="85">
        <f t="shared" si="33"/>
        <v>477.09</v>
      </c>
      <c r="U240" s="85">
        <f t="shared" si="34"/>
        <v>1250.0613173952506</v>
      </c>
      <c r="V240" s="85">
        <f t="shared" si="35"/>
        <v>0</v>
      </c>
      <c r="W240" s="85">
        <f t="shared" si="36"/>
        <v>1727.1513173952505</v>
      </c>
      <c r="X240" s="85">
        <f t="shared" si="37"/>
        <v>162322.79969490229</v>
      </c>
      <c r="Y240" s="85">
        <f t="shared" si="41"/>
        <v>145481.54999999993</v>
      </c>
    </row>
    <row r="241" spans="8:25">
      <c r="H241" s="93">
        <v>191</v>
      </c>
      <c r="I241" s="92">
        <f>IFERROR(EOMONTH(DATE($C$10,$C$9,1),191-1),"")</f>
        <v>50739</v>
      </c>
      <c r="J241" s="91">
        <f t="shared" si="38"/>
        <v>146960.53619001829</v>
      </c>
      <c r="K241" s="91">
        <f t="shared" si="28"/>
        <v>246.16</v>
      </c>
      <c r="L241" s="91">
        <f t="shared" si="29"/>
        <v>1217.8176516314859</v>
      </c>
      <c r="M241" s="91">
        <f t="shared" si="30"/>
        <v>0</v>
      </c>
      <c r="N241" s="91">
        <f t="shared" si="31"/>
        <v>1463.977651631486</v>
      </c>
      <c r="O241" s="91">
        <f t="shared" si="32"/>
        <v>145742.71853838681</v>
      </c>
      <c r="P241" s="91">
        <f t="shared" si="39"/>
        <v>80362.45</v>
      </c>
      <c r="Q241" s="90">
        <v>191</v>
      </c>
      <c r="R241" s="89">
        <f>IFERROR(EOMONTH(DATE($F$10,$F$9,1),191-1),"")</f>
        <v>50739</v>
      </c>
      <c r="S241" s="88">
        <f t="shared" si="40"/>
        <v>162322.79969490229</v>
      </c>
      <c r="T241" s="88">
        <f t="shared" si="33"/>
        <v>473.44</v>
      </c>
      <c r="U241" s="88">
        <f t="shared" si="34"/>
        <v>1253.7113173952505</v>
      </c>
      <c r="V241" s="88">
        <f t="shared" si="35"/>
        <v>0</v>
      </c>
      <c r="W241" s="88">
        <f t="shared" si="36"/>
        <v>1727.1513173952505</v>
      </c>
      <c r="X241" s="88">
        <f t="shared" si="37"/>
        <v>161069.08837750705</v>
      </c>
      <c r="Y241" s="88">
        <f t="shared" si="41"/>
        <v>145954.98999999993</v>
      </c>
    </row>
    <row r="242" spans="8:25">
      <c r="H242" s="87">
        <v>192</v>
      </c>
      <c r="I242" s="86">
        <f>IFERROR(EOMONTH(DATE($C$10,$C$9,1),192-1),"")</f>
        <v>50770</v>
      </c>
      <c r="J242" s="85">
        <f t="shared" si="38"/>
        <v>145742.71853838681</v>
      </c>
      <c r="K242" s="85">
        <f t="shared" si="28"/>
        <v>244.12</v>
      </c>
      <c r="L242" s="85">
        <f t="shared" si="29"/>
        <v>1219.8576516314861</v>
      </c>
      <c r="M242" s="85">
        <f t="shared" si="30"/>
        <v>0</v>
      </c>
      <c r="N242" s="85">
        <f t="shared" si="31"/>
        <v>1463.977651631486</v>
      </c>
      <c r="O242" s="85">
        <f t="shared" si="32"/>
        <v>144522.86088675531</v>
      </c>
      <c r="P242" s="85">
        <f t="shared" si="39"/>
        <v>80606.569999999992</v>
      </c>
      <c r="Q242" s="87">
        <v>192</v>
      </c>
      <c r="R242" s="86">
        <f>IFERROR(EOMONTH(DATE($F$10,$F$9,1),192-1),"")</f>
        <v>50770</v>
      </c>
      <c r="S242" s="85">
        <f t="shared" si="40"/>
        <v>161069.08837750705</v>
      </c>
      <c r="T242" s="85">
        <f t="shared" si="33"/>
        <v>469.78</v>
      </c>
      <c r="U242" s="85">
        <f t="shared" si="34"/>
        <v>1257.3713173952506</v>
      </c>
      <c r="V242" s="85">
        <f t="shared" si="35"/>
        <v>0</v>
      </c>
      <c r="W242" s="85">
        <f t="shared" si="36"/>
        <v>1727.1513173952505</v>
      </c>
      <c r="X242" s="85">
        <f t="shared" si="37"/>
        <v>159811.71706011181</v>
      </c>
      <c r="Y242" s="85">
        <f t="shared" si="41"/>
        <v>146424.76999999993</v>
      </c>
    </row>
    <row r="243" spans="8:25">
      <c r="H243" s="93">
        <v>193</v>
      </c>
      <c r="I243" s="92">
        <f>IFERROR(EOMONTH(DATE($C$10,$C$9,1),193-1),"")</f>
        <v>50801</v>
      </c>
      <c r="J243" s="91">
        <f t="shared" si="38"/>
        <v>144522.86088675531</v>
      </c>
      <c r="K243" s="91">
        <f t="shared" ref="K243:K306" si="42">IF(J243&lt;=0,0,ROUND(J243*$C$7/12,2))</f>
        <v>242.08</v>
      </c>
      <c r="L243" s="91">
        <f t="shared" ref="L243:L306" si="43">IF(J243&lt;=0,0,IF(UPPER(TRIM($C$11))="INTEREST ONLY",0,MAX(0,MIN(J243,$C$17-K243))))</f>
        <v>1221.897651631486</v>
      </c>
      <c r="M243" s="91">
        <f t="shared" ref="M243:M306" si="44">IF(J243&lt;=0,0,MIN(J243-L243,$C$12+IF(H243=$C$14,$C$13,0)))</f>
        <v>0</v>
      </c>
      <c r="N243" s="91">
        <f t="shared" ref="N243:N306" si="45">K243+L243+M243</f>
        <v>1463.977651631486</v>
      </c>
      <c r="O243" s="91">
        <f t="shared" ref="O243:O306" si="46">MAX(0,J243-L243-M243)</f>
        <v>143300.96323512384</v>
      </c>
      <c r="P243" s="91">
        <f t="shared" si="39"/>
        <v>80848.649999999994</v>
      </c>
      <c r="Q243" s="90">
        <v>193</v>
      </c>
      <c r="R243" s="89">
        <f>IFERROR(EOMONTH(DATE($F$10,$F$9,1),193-1),"")</f>
        <v>50801</v>
      </c>
      <c r="S243" s="88">
        <f t="shared" si="40"/>
        <v>159811.71706011181</v>
      </c>
      <c r="T243" s="88">
        <f t="shared" ref="T243:T306" si="47">IF(S243&lt;=0,0,ROUND(S243*$F$7/12,2))</f>
        <v>466.12</v>
      </c>
      <c r="U243" s="88">
        <f t="shared" ref="U243:U306" si="48">IF(S243&lt;=0,0,IF(UPPER(TRIM($F$11))="INTEREST ONLY",0,MAX(0,MIN(S243,$F$17-T243))))</f>
        <v>1261.0313173952504</v>
      </c>
      <c r="V243" s="88">
        <f t="shared" ref="V243:V306" si="49">IF(S243&lt;=0,0,MIN(S243-U243,$F$12+IF(Q243=$F$14,$F$13,0)))</f>
        <v>0</v>
      </c>
      <c r="W243" s="88">
        <f t="shared" ref="W243:W306" si="50">T243+U243+V243</f>
        <v>1727.1513173952503</v>
      </c>
      <c r="X243" s="88">
        <f t="shared" ref="X243:X306" si="51">MAX(0,S243-U243-V243)</f>
        <v>158550.68574271657</v>
      </c>
      <c r="Y243" s="88">
        <f t="shared" si="41"/>
        <v>146890.88999999993</v>
      </c>
    </row>
    <row r="244" spans="8:25">
      <c r="H244" s="87">
        <v>194</v>
      </c>
      <c r="I244" s="86">
        <f>IFERROR(EOMONTH(DATE($C$10,$C$9,1),194-1),"")</f>
        <v>50829</v>
      </c>
      <c r="J244" s="85">
        <f t="shared" ref="J244:J307" si="52">IF(O243&lt;=0,0,O243)</f>
        <v>143300.96323512384</v>
      </c>
      <c r="K244" s="85">
        <f t="shared" si="42"/>
        <v>240.03</v>
      </c>
      <c r="L244" s="85">
        <f t="shared" si="43"/>
        <v>1223.947651631486</v>
      </c>
      <c r="M244" s="85">
        <f t="shared" si="44"/>
        <v>0</v>
      </c>
      <c r="N244" s="85">
        <f t="shared" si="45"/>
        <v>1463.977651631486</v>
      </c>
      <c r="O244" s="85">
        <f t="shared" si="46"/>
        <v>142077.01558349235</v>
      </c>
      <c r="P244" s="85">
        <f t="shared" ref="P244:P307" si="53">P243+K244</f>
        <v>81088.679999999993</v>
      </c>
      <c r="Q244" s="87">
        <v>194</v>
      </c>
      <c r="R244" s="86">
        <f>IFERROR(EOMONTH(DATE($F$10,$F$9,1),194-1),"")</f>
        <v>50829</v>
      </c>
      <c r="S244" s="85">
        <f t="shared" ref="S244:S307" si="54">IF(X243&lt;=0,0,X243)</f>
        <v>158550.68574271657</v>
      </c>
      <c r="T244" s="85">
        <f t="shared" si="47"/>
        <v>462.44</v>
      </c>
      <c r="U244" s="85">
        <f t="shared" si="48"/>
        <v>1264.7113173952505</v>
      </c>
      <c r="V244" s="85">
        <f t="shared" si="49"/>
        <v>0</v>
      </c>
      <c r="W244" s="85">
        <f t="shared" si="50"/>
        <v>1727.1513173952505</v>
      </c>
      <c r="X244" s="85">
        <f t="shared" si="51"/>
        <v>157285.97442532133</v>
      </c>
      <c r="Y244" s="85">
        <f t="shared" ref="Y244:Y307" si="55">Y243+T244</f>
        <v>147353.32999999993</v>
      </c>
    </row>
    <row r="245" spans="8:25">
      <c r="H245" s="93">
        <v>195</v>
      </c>
      <c r="I245" s="92">
        <f>IFERROR(EOMONTH(DATE($C$10,$C$9,1),195-1),"")</f>
        <v>50860</v>
      </c>
      <c r="J245" s="91">
        <f t="shared" si="52"/>
        <v>142077.01558349235</v>
      </c>
      <c r="K245" s="91">
        <f t="shared" si="42"/>
        <v>237.98</v>
      </c>
      <c r="L245" s="91">
        <f t="shared" si="43"/>
        <v>1225.997651631486</v>
      </c>
      <c r="M245" s="91">
        <f t="shared" si="44"/>
        <v>0</v>
      </c>
      <c r="N245" s="91">
        <f t="shared" si="45"/>
        <v>1463.977651631486</v>
      </c>
      <c r="O245" s="91">
        <f t="shared" si="46"/>
        <v>140851.01793186087</v>
      </c>
      <c r="P245" s="91">
        <f t="shared" si="53"/>
        <v>81326.659999999989</v>
      </c>
      <c r="Q245" s="90">
        <v>195</v>
      </c>
      <c r="R245" s="89">
        <f>IFERROR(EOMONTH(DATE($F$10,$F$9,1),195-1),"")</f>
        <v>50860</v>
      </c>
      <c r="S245" s="88">
        <f t="shared" si="54"/>
        <v>157285.97442532133</v>
      </c>
      <c r="T245" s="88">
        <f t="shared" si="47"/>
        <v>458.75</v>
      </c>
      <c r="U245" s="88">
        <f t="shared" si="48"/>
        <v>1268.4013173952505</v>
      </c>
      <c r="V245" s="88">
        <f t="shared" si="49"/>
        <v>0</v>
      </c>
      <c r="W245" s="88">
        <f t="shared" si="50"/>
        <v>1727.1513173952505</v>
      </c>
      <c r="X245" s="88">
        <f t="shared" si="51"/>
        <v>156017.57310792609</v>
      </c>
      <c r="Y245" s="88">
        <f t="shared" si="55"/>
        <v>147812.07999999993</v>
      </c>
    </row>
    <row r="246" spans="8:25">
      <c r="H246" s="87">
        <v>196</v>
      </c>
      <c r="I246" s="86">
        <f>IFERROR(EOMONTH(DATE($C$10,$C$9,1),196-1),"")</f>
        <v>50890</v>
      </c>
      <c r="J246" s="85">
        <f t="shared" si="52"/>
        <v>140851.01793186087</v>
      </c>
      <c r="K246" s="85">
        <f t="shared" si="42"/>
        <v>235.93</v>
      </c>
      <c r="L246" s="85">
        <f t="shared" si="43"/>
        <v>1228.0476516314859</v>
      </c>
      <c r="M246" s="85">
        <f t="shared" si="44"/>
        <v>0</v>
      </c>
      <c r="N246" s="85">
        <f t="shared" si="45"/>
        <v>1463.977651631486</v>
      </c>
      <c r="O246" s="85">
        <f t="shared" si="46"/>
        <v>139622.97028022938</v>
      </c>
      <c r="P246" s="85">
        <f t="shared" si="53"/>
        <v>81562.589999999982</v>
      </c>
      <c r="Q246" s="87">
        <v>196</v>
      </c>
      <c r="R246" s="86">
        <f>IFERROR(EOMONTH(DATE($F$10,$F$9,1),196-1),"")</f>
        <v>50890</v>
      </c>
      <c r="S246" s="85">
        <f t="shared" si="54"/>
        <v>156017.57310792609</v>
      </c>
      <c r="T246" s="85">
        <f t="shared" si="47"/>
        <v>455.05</v>
      </c>
      <c r="U246" s="85">
        <f t="shared" si="48"/>
        <v>1272.1013173952506</v>
      </c>
      <c r="V246" s="85">
        <f t="shared" si="49"/>
        <v>0</v>
      </c>
      <c r="W246" s="85">
        <f t="shared" si="50"/>
        <v>1727.1513173952505</v>
      </c>
      <c r="X246" s="85">
        <f t="shared" si="51"/>
        <v>154745.47179053084</v>
      </c>
      <c r="Y246" s="85">
        <f t="shared" si="55"/>
        <v>148267.12999999992</v>
      </c>
    </row>
    <row r="247" spans="8:25">
      <c r="H247" s="93">
        <v>197</v>
      </c>
      <c r="I247" s="92">
        <f>IFERROR(EOMONTH(DATE($C$10,$C$9,1),197-1),"")</f>
        <v>50921</v>
      </c>
      <c r="J247" s="91">
        <f t="shared" si="52"/>
        <v>139622.97028022938</v>
      </c>
      <c r="K247" s="91">
        <f t="shared" si="42"/>
        <v>233.87</v>
      </c>
      <c r="L247" s="91">
        <f t="shared" si="43"/>
        <v>1230.1076516314861</v>
      </c>
      <c r="M247" s="91">
        <f t="shared" si="44"/>
        <v>0</v>
      </c>
      <c r="N247" s="91">
        <f t="shared" si="45"/>
        <v>1463.977651631486</v>
      </c>
      <c r="O247" s="91">
        <f t="shared" si="46"/>
        <v>138392.86262859788</v>
      </c>
      <c r="P247" s="91">
        <f t="shared" si="53"/>
        <v>81796.459999999977</v>
      </c>
      <c r="Q247" s="90">
        <v>197</v>
      </c>
      <c r="R247" s="89">
        <f>IFERROR(EOMONTH(DATE($F$10,$F$9,1),197-1),"")</f>
        <v>50921</v>
      </c>
      <c r="S247" s="88">
        <f t="shared" si="54"/>
        <v>154745.47179053084</v>
      </c>
      <c r="T247" s="88">
        <f t="shared" si="47"/>
        <v>451.34</v>
      </c>
      <c r="U247" s="88">
        <f t="shared" si="48"/>
        <v>1275.8113173952506</v>
      </c>
      <c r="V247" s="88">
        <f t="shared" si="49"/>
        <v>0</v>
      </c>
      <c r="W247" s="88">
        <f t="shared" si="50"/>
        <v>1727.1513173952505</v>
      </c>
      <c r="X247" s="88">
        <f t="shared" si="51"/>
        <v>153469.66047313559</v>
      </c>
      <c r="Y247" s="88">
        <f t="shared" si="55"/>
        <v>148718.46999999991</v>
      </c>
    </row>
    <row r="248" spans="8:25">
      <c r="H248" s="87">
        <v>198</v>
      </c>
      <c r="I248" s="86">
        <f>IFERROR(EOMONTH(DATE($C$10,$C$9,1),198-1),"")</f>
        <v>50951</v>
      </c>
      <c r="J248" s="85">
        <f t="shared" si="52"/>
        <v>138392.86262859788</v>
      </c>
      <c r="K248" s="85">
        <f t="shared" si="42"/>
        <v>231.81</v>
      </c>
      <c r="L248" s="85">
        <f t="shared" si="43"/>
        <v>1232.167651631486</v>
      </c>
      <c r="M248" s="85">
        <f t="shared" si="44"/>
        <v>0</v>
      </c>
      <c r="N248" s="85">
        <f t="shared" si="45"/>
        <v>1463.977651631486</v>
      </c>
      <c r="O248" s="85">
        <f t="shared" si="46"/>
        <v>137160.69497696639</v>
      </c>
      <c r="P248" s="85">
        <f t="shared" si="53"/>
        <v>82028.269999999975</v>
      </c>
      <c r="Q248" s="87">
        <v>198</v>
      </c>
      <c r="R248" s="86">
        <f>IFERROR(EOMONTH(DATE($F$10,$F$9,1),198-1),"")</f>
        <v>50951</v>
      </c>
      <c r="S248" s="85">
        <f t="shared" si="54"/>
        <v>153469.66047313559</v>
      </c>
      <c r="T248" s="85">
        <f t="shared" si="47"/>
        <v>447.62</v>
      </c>
      <c r="U248" s="85">
        <f t="shared" si="48"/>
        <v>1279.5313173952504</v>
      </c>
      <c r="V248" s="85">
        <f t="shared" si="49"/>
        <v>0</v>
      </c>
      <c r="W248" s="85">
        <f t="shared" si="50"/>
        <v>1727.1513173952503</v>
      </c>
      <c r="X248" s="85">
        <f t="shared" si="51"/>
        <v>152190.12915574035</v>
      </c>
      <c r="Y248" s="85">
        <f t="shared" si="55"/>
        <v>149166.08999999991</v>
      </c>
    </row>
    <row r="249" spans="8:25">
      <c r="H249" s="93">
        <v>199</v>
      </c>
      <c r="I249" s="92">
        <f>IFERROR(EOMONTH(DATE($C$10,$C$9,1),199-1),"")</f>
        <v>50982</v>
      </c>
      <c r="J249" s="91">
        <f t="shared" si="52"/>
        <v>137160.69497696639</v>
      </c>
      <c r="K249" s="91">
        <f t="shared" si="42"/>
        <v>229.74</v>
      </c>
      <c r="L249" s="91">
        <f t="shared" si="43"/>
        <v>1234.237651631486</v>
      </c>
      <c r="M249" s="91">
        <f t="shared" si="44"/>
        <v>0</v>
      </c>
      <c r="N249" s="91">
        <f t="shared" si="45"/>
        <v>1463.977651631486</v>
      </c>
      <c r="O249" s="91">
        <f t="shared" si="46"/>
        <v>135926.45732533489</v>
      </c>
      <c r="P249" s="91">
        <f t="shared" si="53"/>
        <v>82258.00999999998</v>
      </c>
      <c r="Q249" s="90">
        <v>199</v>
      </c>
      <c r="R249" s="89">
        <f>IFERROR(EOMONTH(DATE($F$10,$F$9,1),199-1),"")</f>
        <v>50982</v>
      </c>
      <c r="S249" s="88">
        <f t="shared" si="54"/>
        <v>152190.12915574035</v>
      </c>
      <c r="T249" s="88">
        <f t="shared" si="47"/>
        <v>443.89</v>
      </c>
      <c r="U249" s="88">
        <f t="shared" si="48"/>
        <v>1283.2613173952504</v>
      </c>
      <c r="V249" s="88">
        <f t="shared" si="49"/>
        <v>0</v>
      </c>
      <c r="W249" s="88">
        <f t="shared" si="50"/>
        <v>1727.1513173952503</v>
      </c>
      <c r="X249" s="88">
        <f t="shared" si="51"/>
        <v>150906.86783834509</v>
      </c>
      <c r="Y249" s="88">
        <f t="shared" si="55"/>
        <v>149609.97999999992</v>
      </c>
    </row>
    <row r="250" spans="8:25">
      <c r="H250" s="87">
        <v>200</v>
      </c>
      <c r="I250" s="86">
        <f>IFERROR(EOMONTH(DATE($C$10,$C$9,1),200-1),"")</f>
        <v>51013</v>
      </c>
      <c r="J250" s="85">
        <f t="shared" si="52"/>
        <v>135926.45732533489</v>
      </c>
      <c r="K250" s="85">
        <f t="shared" si="42"/>
        <v>227.68</v>
      </c>
      <c r="L250" s="85">
        <f t="shared" si="43"/>
        <v>1236.2976516314859</v>
      </c>
      <c r="M250" s="85">
        <f t="shared" si="44"/>
        <v>0</v>
      </c>
      <c r="N250" s="85">
        <f t="shared" si="45"/>
        <v>1463.977651631486</v>
      </c>
      <c r="O250" s="85">
        <f t="shared" si="46"/>
        <v>134690.1596737034</v>
      </c>
      <c r="P250" s="85">
        <f t="shared" si="53"/>
        <v>82485.689999999973</v>
      </c>
      <c r="Q250" s="87">
        <v>200</v>
      </c>
      <c r="R250" s="86">
        <f>IFERROR(EOMONTH(DATE($F$10,$F$9,1),200-1),"")</f>
        <v>51013</v>
      </c>
      <c r="S250" s="85">
        <f t="shared" si="54"/>
        <v>150906.86783834509</v>
      </c>
      <c r="T250" s="85">
        <f t="shared" si="47"/>
        <v>440.15</v>
      </c>
      <c r="U250" s="85">
        <f t="shared" si="48"/>
        <v>1287.0013173952507</v>
      </c>
      <c r="V250" s="85">
        <f t="shared" si="49"/>
        <v>0</v>
      </c>
      <c r="W250" s="85">
        <f t="shared" si="50"/>
        <v>1727.1513173952508</v>
      </c>
      <c r="X250" s="85">
        <f t="shared" si="51"/>
        <v>149619.86652094984</v>
      </c>
      <c r="Y250" s="85">
        <f t="shared" si="55"/>
        <v>150050.12999999992</v>
      </c>
    </row>
    <row r="251" spans="8:25">
      <c r="H251" s="93">
        <v>201</v>
      </c>
      <c r="I251" s="92">
        <f>IFERROR(EOMONTH(DATE($C$10,$C$9,1),201-1),"")</f>
        <v>51043</v>
      </c>
      <c r="J251" s="91">
        <f t="shared" si="52"/>
        <v>134690.1596737034</v>
      </c>
      <c r="K251" s="91">
        <f t="shared" si="42"/>
        <v>225.61</v>
      </c>
      <c r="L251" s="91">
        <f t="shared" si="43"/>
        <v>1238.3676516314858</v>
      </c>
      <c r="M251" s="91">
        <f t="shared" si="44"/>
        <v>0</v>
      </c>
      <c r="N251" s="91">
        <f t="shared" si="45"/>
        <v>1463.977651631486</v>
      </c>
      <c r="O251" s="91">
        <f t="shared" si="46"/>
        <v>133451.79202207192</v>
      </c>
      <c r="P251" s="91">
        <f t="shared" si="53"/>
        <v>82711.299999999974</v>
      </c>
      <c r="Q251" s="90">
        <v>201</v>
      </c>
      <c r="R251" s="89">
        <f>IFERROR(EOMONTH(DATE($F$10,$F$9,1),201-1),"")</f>
        <v>51043</v>
      </c>
      <c r="S251" s="88">
        <f t="shared" si="54"/>
        <v>149619.86652094984</v>
      </c>
      <c r="T251" s="88">
        <f t="shared" si="47"/>
        <v>436.39</v>
      </c>
      <c r="U251" s="88">
        <f t="shared" si="48"/>
        <v>1290.7613173952504</v>
      </c>
      <c r="V251" s="88">
        <f t="shared" si="49"/>
        <v>0</v>
      </c>
      <c r="W251" s="88">
        <f t="shared" si="50"/>
        <v>1727.1513173952503</v>
      </c>
      <c r="X251" s="88">
        <f t="shared" si="51"/>
        <v>148329.10520355459</v>
      </c>
      <c r="Y251" s="88">
        <f t="shared" si="55"/>
        <v>150486.51999999993</v>
      </c>
    </row>
    <row r="252" spans="8:25">
      <c r="H252" s="87">
        <v>202</v>
      </c>
      <c r="I252" s="86">
        <f>IFERROR(EOMONTH(DATE($C$10,$C$9,1),202-1),"")</f>
        <v>51074</v>
      </c>
      <c r="J252" s="85">
        <f t="shared" si="52"/>
        <v>133451.79202207192</v>
      </c>
      <c r="K252" s="85">
        <f t="shared" si="42"/>
        <v>223.53</v>
      </c>
      <c r="L252" s="85">
        <f t="shared" si="43"/>
        <v>1240.447651631486</v>
      </c>
      <c r="M252" s="85">
        <f t="shared" si="44"/>
        <v>0</v>
      </c>
      <c r="N252" s="85">
        <f t="shared" si="45"/>
        <v>1463.977651631486</v>
      </c>
      <c r="O252" s="85">
        <f t="shared" si="46"/>
        <v>132211.34437044043</v>
      </c>
      <c r="P252" s="85">
        <f t="shared" si="53"/>
        <v>82934.829999999973</v>
      </c>
      <c r="Q252" s="87">
        <v>202</v>
      </c>
      <c r="R252" s="86">
        <f>IFERROR(EOMONTH(DATE($F$10,$F$9,1),202-1),"")</f>
        <v>51074</v>
      </c>
      <c r="S252" s="85">
        <f t="shared" si="54"/>
        <v>148329.10520355459</v>
      </c>
      <c r="T252" s="85">
        <f t="shared" si="47"/>
        <v>432.63</v>
      </c>
      <c r="U252" s="85">
        <f t="shared" si="48"/>
        <v>1294.5213173952507</v>
      </c>
      <c r="V252" s="85">
        <f t="shared" si="49"/>
        <v>0</v>
      </c>
      <c r="W252" s="85">
        <f t="shared" si="50"/>
        <v>1727.1513173952508</v>
      </c>
      <c r="X252" s="85">
        <f t="shared" si="51"/>
        <v>147034.58388615935</v>
      </c>
      <c r="Y252" s="85">
        <f t="shared" si="55"/>
        <v>150919.14999999994</v>
      </c>
    </row>
    <row r="253" spans="8:25">
      <c r="H253" s="93">
        <v>203</v>
      </c>
      <c r="I253" s="92">
        <f>IFERROR(EOMONTH(DATE($C$10,$C$9,1),203-1),"")</f>
        <v>51104</v>
      </c>
      <c r="J253" s="91">
        <f t="shared" si="52"/>
        <v>132211.34437044043</v>
      </c>
      <c r="K253" s="91">
        <f t="shared" si="42"/>
        <v>221.45</v>
      </c>
      <c r="L253" s="91">
        <f t="shared" si="43"/>
        <v>1242.5276516314859</v>
      </c>
      <c r="M253" s="91">
        <f t="shared" si="44"/>
        <v>0</v>
      </c>
      <c r="N253" s="91">
        <f t="shared" si="45"/>
        <v>1463.977651631486</v>
      </c>
      <c r="O253" s="91">
        <f t="shared" si="46"/>
        <v>130968.81671880894</v>
      </c>
      <c r="P253" s="91">
        <f t="shared" si="53"/>
        <v>83156.27999999997</v>
      </c>
      <c r="Q253" s="90">
        <v>203</v>
      </c>
      <c r="R253" s="89">
        <f>IFERROR(EOMONTH(DATE($F$10,$F$9,1),203-1),"")</f>
        <v>51104</v>
      </c>
      <c r="S253" s="88">
        <f t="shared" si="54"/>
        <v>147034.58388615935</v>
      </c>
      <c r="T253" s="88">
        <f t="shared" si="47"/>
        <v>428.85</v>
      </c>
      <c r="U253" s="88">
        <f t="shared" si="48"/>
        <v>1298.3013173952504</v>
      </c>
      <c r="V253" s="88">
        <f t="shared" si="49"/>
        <v>0</v>
      </c>
      <c r="W253" s="88">
        <f t="shared" si="50"/>
        <v>1727.1513173952503</v>
      </c>
      <c r="X253" s="88">
        <f t="shared" si="51"/>
        <v>145736.28256876409</v>
      </c>
      <c r="Y253" s="88">
        <f t="shared" si="55"/>
        <v>151347.99999999994</v>
      </c>
    </row>
    <row r="254" spans="8:25">
      <c r="H254" s="87">
        <v>204</v>
      </c>
      <c r="I254" s="86">
        <f>IFERROR(EOMONTH(DATE($C$10,$C$9,1),204-1),"")</f>
        <v>51135</v>
      </c>
      <c r="J254" s="85">
        <f t="shared" si="52"/>
        <v>130968.81671880894</v>
      </c>
      <c r="K254" s="85">
        <f t="shared" si="42"/>
        <v>219.37</v>
      </c>
      <c r="L254" s="85">
        <f t="shared" si="43"/>
        <v>1244.6076516314861</v>
      </c>
      <c r="M254" s="85">
        <f t="shared" si="44"/>
        <v>0</v>
      </c>
      <c r="N254" s="85">
        <f t="shared" si="45"/>
        <v>1463.977651631486</v>
      </c>
      <c r="O254" s="85">
        <f t="shared" si="46"/>
        <v>129724.20906717746</v>
      </c>
      <c r="P254" s="85">
        <f t="shared" si="53"/>
        <v>83375.649999999965</v>
      </c>
      <c r="Q254" s="87">
        <v>204</v>
      </c>
      <c r="R254" s="86">
        <f>IFERROR(EOMONTH(DATE($F$10,$F$9,1),204-1),"")</f>
        <v>51135</v>
      </c>
      <c r="S254" s="85">
        <f t="shared" si="54"/>
        <v>145736.28256876409</v>
      </c>
      <c r="T254" s="85">
        <f t="shared" si="47"/>
        <v>425.06</v>
      </c>
      <c r="U254" s="85">
        <f t="shared" si="48"/>
        <v>1302.0913173952506</v>
      </c>
      <c r="V254" s="85">
        <f t="shared" si="49"/>
        <v>0</v>
      </c>
      <c r="W254" s="85">
        <f t="shared" si="50"/>
        <v>1727.1513173952505</v>
      </c>
      <c r="X254" s="85">
        <f t="shared" si="51"/>
        <v>144434.19125136884</v>
      </c>
      <c r="Y254" s="85">
        <f t="shared" si="55"/>
        <v>151773.05999999994</v>
      </c>
    </row>
    <row r="255" spans="8:25">
      <c r="H255" s="93">
        <v>205</v>
      </c>
      <c r="I255" s="92">
        <f>IFERROR(EOMONTH(DATE($C$10,$C$9,1),205-1),"")</f>
        <v>51166</v>
      </c>
      <c r="J255" s="91">
        <f t="shared" si="52"/>
        <v>129724.20906717746</v>
      </c>
      <c r="K255" s="91">
        <f t="shared" si="42"/>
        <v>217.29</v>
      </c>
      <c r="L255" s="91">
        <f t="shared" si="43"/>
        <v>1246.687651631486</v>
      </c>
      <c r="M255" s="91">
        <f t="shared" si="44"/>
        <v>0</v>
      </c>
      <c r="N255" s="91">
        <f t="shared" si="45"/>
        <v>1463.977651631486</v>
      </c>
      <c r="O255" s="91">
        <f t="shared" si="46"/>
        <v>128477.52141554598</v>
      </c>
      <c r="P255" s="91">
        <f t="shared" si="53"/>
        <v>83592.939999999959</v>
      </c>
      <c r="Q255" s="90">
        <v>205</v>
      </c>
      <c r="R255" s="89">
        <f>IFERROR(EOMONTH(DATE($F$10,$F$9,1),205-1),"")</f>
        <v>51166</v>
      </c>
      <c r="S255" s="88">
        <f t="shared" si="54"/>
        <v>144434.19125136884</v>
      </c>
      <c r="T255" s="88">
        <f t="shared" si="47"/>
        <v>421.27</v>
      </c>
      <c r="U255" s="88">
        <f t="shared" si="48"/>
        <v>1305.8813173952506</v>
      </c>
      <c r="V255" s="88">
        <f t="shared" si="49"/>
        <v>0</v>
      </c>
      <c r="W255" s="88">
        <f t="shared" si="50"/>
        <v>1727.1513173952505</v>
      </c>
      <c r="X255" s="88">
        <f t="shared" si="51"/>
        <v>143128.30993397359</v>
      </c>
      <c r="Y255" s="88">
        <f t="shared" si="55"/>
        <v>152194.32999999993</v>
      </c>
    </row>
    <row r="256" spans="8:25">
      <c r="H256" s="87">
        <v>206</v>
      </c>
      <c r="I256" s="86">
        <f>IFERROR(EOMONTH(DATE($C$10,$C$9,1),206-1),"")</f>
        <v>51195</v>
      </c>
      <c r="J256" s="85">
        <f t="shared" si="52"/>
        <v>128477.52141554598</v>
      </c>
      <c r="K256" s="85">
        <f t="shared" si="42"/>
        <v>215.2</v>
      </c>
      <c r="L256" s="85">
        <f t="shared" si="43"/>
        <v>1248.7776516314859</v>
      </c>
      <c r="M256" s="85">
        <f t="shared" si="44"/>
        <v>0</v>
      </c>
      <c r="N256" s="85">
        <f t="shared" si="45"/>
        <v>1463.977651631486</v>
      </c>
      <c r="O256" s="85">
        <f t="shared" si="46"/>
        <v>127228.74376391449</v>
      </c>
      <c r="P256" s="85">
        <f t="shared" si="53"/>
        <v>83808.139999999956</v>
      </c>
      <c r="Q256" s="87">
        <v>206</v>
      </c>
      <c r="R256" s="86">
        <f>IFERROR(EOMONTH(DATE($F$10,$F$9,1),206-1),"")</f>
        <v>51195</v>
      </c>
      <c r="S256" s="85">
        <f t="shared" si="54"/>
        <v>143128.30993397359</v>
      </c>
      <c r="T256" s="85">
        <f t="shared" si="47"/>
        <v>417.46</v>
      </c>
      <c r="U256" s="85">
        <f t="shared" si="48"/>
        <v>1309.6913173952505</v>
      </c>
      <c r="V256" s="85">
        <f t="shared" si="49"/>
        <v>0</v>
      </c>
      <c r="W256" s="85">
        <f t="shared" si="50"/>
        <v>1727.1513173952505</v>
      </c>
      <c r="X256" s="85">
        <f t="shared" si="51"/>
        <v>141818.61861657834</v>
      </c>
      <c r="Y256" s="85">
        <f t="shared" si="55"/>
        <v>152611.78999999992</v>
      </c>
    </row>
    <row r="257" spans="8:25">
      <c r="H257" s="93">
        <v>207</v>
      </c>
      <c r="I257" s="92">
        <f>IFERROR(EOMONTH(DATE($C$10,$C$9,1),207-1),"")</f>
        <v>51226</v>
      </c>
      <c r="J257" s="91">
        <f t="shared" si="52"/>
        <v>127228.74376391449</v>
      </c>
      <c r="K257" s="91">
        <f t="shared" si="42"/>
        <v>213.11</v>
      </c>
      <c r="L257" s="91">
        <f t="shared" si="43"/>
        <v>1250.8676516314858</v>
      </c>
      <c r="M257" s="91">
        <f t="shared" si="44"/>
        <v>0</v>
      </c>
      <c r="N257" s="91">
        <f t="shared" si="45"/>
        <v>1463.977651631486</v>
      </c>
      <c r="O257" s="91">
        <f t="shared" si="46"/>
        <v>125977.876112283</v>
      </c>
      <c r="P257" s="91">
        <f t="shared" si="53"/>
        <v>84021.249999999956</v>
      </c>
      <c r="Q257" s="90">
        <v>207</v>
      </c>
      <c r="R257" s="89">
        <f>IFERROR(EOMONTH(DATE($F$10,$F$9,1),207-1),"")</f>
        <v>51226</v>
      </c>
      <c r="S257" s="88">
        <f t="shared" si="54"/>
        <v>141818.61861657834</v>
      </c>
      <c r="T257" s="88">
        <f t="shared" si="47"/>
        <v>413.64</v>
      </c>
      <c r="U257" s="88">
        <f t="shared" si="48"/>
        <v>1313.5113173952504</v>
      </c>
      <c r="V257" s="88">
        <f t="shared" si="49"/>
        <v>0</v>
      </c>
      <c r="W257" s="88">
        <f t="shared" si="50"/>
        <v>1727.1513173952503</v>
      </c>
      <c r="X257" s="88">
        <f t="shared" si="51"/>
        <v>140505.10729918309</v>
      </c>
      <c r="Y257" s="88">
        <f t="shared" si="55"/>
        <v>153025.42999999993</v>
      </c>
    </row>
    <row r="258" spans="8:25">
      <c r="H258" s="87">
        <v>208</v>
      </c>
      <c r="I258" s="86">
        <f>IFERROR(EOMONTH(DATE($C$10,$C$9,1),208-1),"")</f>
        <v>51256</v>
      </c>
      <c r="J258" s="85">
        <f t="shared" si="52"/>
        <v>125977.876112283</v>
      </c>
      <c r="K258" s="85">
        <f t="shared" si="42"/>
        <v>211.01</v>
      </c>
      <c r="L258" s="85">
        <f t="shared" si="43"/>
        <v>1252.967651631486</v>
      </c>
      <c r="M258" s="85">
        <f t="shared" si="44"/>
        <v>0</v>
      </c>
      <c r="N258" s="85">
        <f t="shared" si="45"/>
        <v>1463.977651631486</v>
      </c>
      <c r="O258" s="85">
        <f t="shared" si="46"/>
        <v>124724.90846065152</v>
      </c>
      <c r="P258" s="85">
        <f t="shared" si="53"/>
        <v>84232.259999999951</v>
      </c>
      <c r="Q258" s="87">
        <v>208</v>
      </c>
      <c r="R258" s="86">
        <f>IFERROR(EOMONTH(DATE($F$10,$F$9,1),208-1),"")</f>
        <v>51256</v>
      </c>
      <c r="S258" s="85">
        <f t="shared" si="54"/>
        <v>140505.10729918309</v>
      </c>
      <c r="T258" s="85">
        <f t="shared" si="47"/>
        <v>409.81</v>
      </c>
      <c r="U258" s="85">
        <f t="shared" si="48"/>
        <v>1317.3413173952506</v>
      </c>
      <c r="V258" s="85">
        <f t="shared" si="49"/>
        <v>0</v>
      </c>
      <c r="W258" s="85">
        <f t="shared" si="50"/>
        <v>1727.1513173952505</v>
      </c>
      <c r="X258" s="85">
        <f t="shared" si="51"/>
        <v>139187.76598178784</v>
      </c>
      <c r="Y258" s="85">
        <f t="shared" si="55"/>
        <v>153435.23999999993</v>
      </c>
    </row>
    <row r="259" spans="8:25">
      <c r="H259" s="93">
        <v>209</v>
      </c>
      <c r="I259" s="92">
        <f>IFERROR(EOMONTH(DATE($C$10,$C$9,1),209-1),"")</f>
        <v>51287</v>
      </c>
      <c r="J259" s="91">
        <f t="shared" si="52"/>
        <v>124724.90846065152</v>
      </c>
      <c r="K259" s="91">
        <f t="shared" si="42"/>
        <v>208.91</v>
      </c>
      <c r="L259" s="91">
        <f t="shared" si="43"/>
        <v>1255.0676516314859</v>
      </c>
      <c r="M259" s="91">
        <f t="shared" si="44"/>
        <v>0</v>
      </c>
      <c r="N259" s="91">
        <f t="shared" si="45"/>
        <v>1463.977651631486</v>
      </c>
      <c r="O259" s="91">
        <f t="shared" si="46"/>
        <v>123469.84080902004</v>
      </c>
      <c r="P259" s="91">
        <f t="shared" si="53"/>
        <v>84441.169999999955</v>
      </c>
      <c r="Q259" s="90">
        <v>209</v>
      </c>
      <c r="R259" s="89">
        <f>IFERROR(EOMONTH(DATE($F$10,$F$9,1),209-1),"")</f>
        <v>51287</v>
      </c>
      <c r="S259" s="88">
        <f t="shared" si="54"/>
        <v>139187.76598178784</v>
      </c>
      <c r="T259" s="88">
        <f t="shared" si="47"/>
        <v>405.96</v>
      </c>
      <c r="U259" s="88">
        <f t="shared" si="48"/>
        <v>1321.1913173952505</v>
      </c>
      <c r="V259" s="88">
        <f t="shared" si="49"/>
        <v>0</v>
      </c>
      <c r="W259" s="88">
        <f t="shared" si="50"/>
        <v>1727.1513173952505</v>
      </c>
      <c r="X259" s="88">
        <f t="shared" si="51"/>
        <v>137866.5746643926</v>
      </c>
      <c r="Y259" s="88">
        <f t="shared" si="55"/>
        <v>153841.19999999992</v>
      </c>
    </row>
    <row r="260" spans="8:25">
      <c r="H260" s="87">
        <v>210</v>
      </c>
      <c r="I260" s="86">
        <f>IFERROR(EOMONTH(DATE($C$10,$C$9,1),210-1),"")</f>
        <v>51317</v>
      </c>
      <c r="J260" s="85">
        <f t="shared" si="52"/>
        <v>123469.84080902004</v>
      </c>
      <c r="K260" s="85">
        <f t="shared" si="42"/>
        <v>206.81</v>
      </c>
      <c r="L260" s="85">
        <f t="shared" si="43"/>
        <v>1257.167651631486</v>
      </c>
      <c r="M260" s="85">
        <f t="shared" si="44"/>
        <v>0</v>
      </c>
      <c r="N260" s="85">
        <f t="shared" si="45"/>
        <v>1463.977651631486</v>
      </c>
      <c r="O260" s="85">
        <f t="shared" si="46"/>
        <v>122212.67315738855</v>
      </c>
      <c r="P260" s="85">
        <f t="shared" si="53"/>
        <v>84647.979999999952</v>
      </c>
      <c r="Q260" s="87">
        <v>210</v>
      </c>
      <c r="R260" s="86">
        <f>IFERROR(EOMONTH(DATE($F$10,$F$9,1),210-1),"")</f>
        <v>51317</v>
      </c>
      <c r="S260" s="85">
        <f t="shared" si="54"/>
        <v>137866.5746643926</v>
      </c>
      <c r="T260" s="85">
        <f t="shared" si="47"/>
        <v>402.11</v>
      </c>
      <c r="U260" s="85">
        <f t="shared" si="48"/>
        <v>1325.0413173952506</v>
      </c>
      <c r="V260" s="85">
        <f t="shared" si="49"/>
        <v>0</v>
      </c>
      <c r="W260" s="85">
        <f t="shared" si="50"/>
        <v>1727.1513173952508</v>
      </c>
      <c r="X260" s="85">
        <f t="shared" si="51"/>
        <v>136541.53334699734</v>
      </c>
      <c r="Y260" s="85">
        <f t="shared" si="55"/>
        <v>154243.30999999991</v>
      </c>
    </row>
    <row r="261" spans="8:25">
      <c r="H261" s="93">
        <v>211</v>
      </c>
      <c r="I261" s="92">
        <f>IFERROR(EOMONTH(DATE($C$10,$C$9,1),211-1),"")</f>
        <v>51348</v>
      </c>
      <c r="J261" s="91">
        <f t="shared" si="52"/>
        <v>122212.67315738855</v>
      </c>
      <c r="K261" s="91">
        <f t="shared" si="42"/>
        <v>204.71</v>
      </c>
      <c r="L261" s="91">
        <f t="shared" si="43"/>
        <v>1259.2676516314859</v>
      </c>
      <c r="M261" s="91">
        <f t="shared" si="44"/>
        <v>0</v>
      </c>
      <c r="N261" s="91">
        <f t="shared" si="45"/>
        <v>1463.977651631486</v>
      </c>
      <c r="O261" s="91">
        <f t="shared" si="46"/>
        <v>120953.40550575707</v>
      </c>
      <c r="P261" s="91">
        <f t="shared" si="53"/>
        <v>84852.689999999959</v>
      </c>
      <c r="Q261" s="90">
        <v>211</v>
      </c>
      <c r="R261" s="89">
        <f>IFERROR(EOMONTH(DATE($F$10,$F$9,1),211-1),"")</f>
        <v>51348</v>
      </c>
      <c r="S261" s="88">
        <f t="shared" si="54"/>
        <v>136541.53334699734</v>
      </c>
      <c r="T261" s="88">
        <f t="shared" si="47"/>
        <v>398.25</v>
      </c>
      <c r="U261" s="88">
        <f t="shared" si="48"/>
        <v>1328.9013173952505</v>
      </c>
      <c r="V261" s="88">
        <f t="shared" si="49"/>
        <v>0</v>
      </c>
      <c r="W261" s="88">
        <f t="shared" si="50"/>
        <v>1727.1513173952505</v>
      </c>
      <c r="X261" s="88">
        <f t="shared" si="51"/>
        <v>135212.6320296021</v>
      </c>
      <c r="Y261" s="88">
        <f t="shared" si="55"/>
        <v>154641.55999999991</v>
      </c>
    </row>
    <row r="262" spans="8:25">
      <c r="H262" s="87">
        <v>212</v>
      </c>
      <c r="I262" s="86">
        <f>IFERROR(EOMONTH(DATE($C$10,$C$9,1),212-1),"")</f>
        <v>51379</v>
      </c>
      <c r="J262" s="85">
        <f t="shared" si="52"/>
        <v>120953.40550575707</v>
      </c>
      <c r="K262" s="85">
        <f t="shared" si="42"/>
        <v>202.6</v>
      </c>
      <c r="L262" s="85">
        <f t="shared" si="43"/>
        <v>1261.3776516314861</v>
      </c>
      <c r="M262" s="85">
        <f t="shared" si="44"/>
        <v>0</v>
      </c>
      <c r="N262" s="85">
        <f t="shared" si="45"/>
        <v>1463.977651631486</v>
      </c>
      <c r="O262" s="85">
        <f t="shared" si="46"/>
        <v>119692.02785412558</v>
      </c>
      <c r="P262" s="85">
        <f t="shared" si="53"/>
        <v>85055.289999999964</v>
      </c>
      <c r="Q262" s="87">
        <v>212</v>
      </c>
      <c r="R262" s="86">
        <f>IFERROR(EOMONTH(DATE($F$10,$F$9,1),212-1),"")</f>
        <v>51379</v>
      </c>
      <c r="S262" s="85">
        <f t="shared" si="54"/>
        <v>135212.6320296021</v>
      </c>
      <c r="T262" s="85">
        <f t="shared" si="47"/>
        <v>394.37</v>
      </c>
      <c r="U262" s="85">
        <f t="shared" si="48"/>
        <v>1332.7813173952504</v>
      </c>
      <c r="V262" s="85">
        <f t="shared" si="49"/>
        <v>0</v>
      </c>
      <c r="W262" s="85">
        <f t="shared" si="50"/>
        <v>1727.1513173952503</v>
      </c>
      <c r="X262" s="85">
        <f t="shared" si="51"/>
        <v>133879.85071220685</v>
      </c>
      <c r="Y262" s="85">
        <f t="shared" si="55"/>
        <v>155035.92999999991</v>
      </c>
    </row>
    <row r="263" spans="8:25">
      <c r="H263" s="93">
        <v>213</v>
      </c>
      <c r="I263" s="92">
        <f>IFERROR(EOMONTH(DATE($C$10,$C$9,1),213-1),"")</f>
        <v>51409</v>
      </c>
      <c r="J263" s="91">
        <f t="shared" si="52"/>
        <v>119692.02785412558</v>
      </c>
      <c r="K263" s="91">
        <f t="shared" si="42"/>
        <v>200.48</v>
      </c>
      <c r="L263" s="91">
        <f t="shared" si="43"/>
        <v>1263.497651631486</v>
      </c>
      <c r="M263" s="91">
        <f t="shared" si="44"/>
        <v>0</v>
      </c>
      <c r="N263" s="91">
        <f t="shared" si="45"/>
        <v>1463.977651631486</v>
      </c>
      <c r="O263" s="91">
        <f t="shared" si="46"/>
        <v>118428.53020249409</v>
      </c>
      <c r="P263" s="91">
        <f t="shared" si="53"/>
        <v>85255.76999999996</v>
      </c>
      <c r="Q263" s="90">
        <v>213</v>
      </c>
      <c r="R263" s="89">
        <f>IFERROR(EOMONTH(DATE($F$10,$F$9,1),213-1),"")</f>
        <v>51409</v>
      </c>
      <c r="S263" s="88">
        <f t="shared" si="54"/>
        <v>133879.85071220685</v>
      </c>
      <c r="T263" s="88">
        <f t="shared" si="47"/>
        <v>390.48</v>
      </c>
      <c r="U263" s="88">
        <f t="shared" si="48"/>
        <v>1336.6713173952505</v>
      </c>
      <c r="V263" s="88">
        <f t="shared" si="49"/>
        <v>0</v>
      </c>
      <c r="W263" s="88">
        <f t="shared" si="50"/>
        <v>1727.1513173952505</v>
      </c>
      <c r="X263" s="88">
        <f t="shared" si="51"/>
        <v>132543.1793948116</v>
      </c>
      <c r="Y263" s="88">
        <f t="shared" si="55"/>
        <v>155426.40999999992</v>
      </c>
    </row>
    <row r="264" spans="8:25">
      <c r="H264" s="87">
        <v>214</v>
      </c>
      <c r="I264" s="86">
        <f>IFERROR(EOMONTH(DATE($C$10,$C$9,1),214-1),"")</f>
        <v>51440</v>
      </c>
      <c r="J264" s="85">
        <f t="shared" si="52"/>
        <v>118428.53020249409</v>
      </c>
      <c r="K264" s="85">
        <f t="shared" si="42"/>
        <v>198.37</v>
      </c>
      <c r="L264" s="85">
        <f t="shared" si="43"/>
        <v>1265.6076516314861</v>
      </c>
      <c r="M264" s="85">
        <f t="shared" si="44"/>
        <v>0</v>
      </c>
      <c r="N264" s="85">
        <f t="shared" si="45"/>
        <v>1463.977651631486</v>
      </c>
      <c r="O264" s="85">
        <f t="shared" si="46"/>
        <v>117162.9225508626</v>
      </c>
      <c r="P264" s="85">
        <f t="shared" si="53"/>
        <v>85454.139999999956</v>
      </c>
      <c r="Q264" s="87">
        <v>214</v>
      </c>
      <c r="R264" s="86">
        <f>IFERROR(EOMONTH(DATE($F$10,$F$9,1),214-1),"")</f>
        <v>51440</v>
      </c>
      <c r="S264" s="85">
        <f t="shared" si="54"/>
        <v>132543.1793948116</v>
      </c>
      <c r="T264" s="85">
        <f t="shared" si="47"/>
        <v>386.58</v>
      </c>
      <c r="U264" s="85">
        <f t="shared" si="48"/>
        <v>1340.5713173952506</v>
      </c>
      <c r="V264" s="85">
        <f t="shared" si="49"/>
        <v>0</v>
      </c>
      <c r="W264" s="85">
        <f t="shared" si="50"/>
        <v>1727.1513173952505</v>
      </c>
      <c r="X264" s="85">
        <f t="shared" si="51"/>
        <v>131202.60807741634</v>
      </c>
      <c r="Y264" s="85">
        <f t="shared" si="55"/>
        <v>155812.9899999999</v>
      </c>
    </row>
    <row r="265" spans="8:25">
      <c r="H265" s="93">
        <v>215</v>
      </c>
      <c r="I265" s="92">
        <f>IFERROR(EOMONTH(DATE($C$10,$C$9,1),215-1),"")</f>
        <v>51470</v>
      </c>
      <c r="J265" s="91">
        <f t="shared" si="52"/>
        <v>117162.9225508626</v>
      </c>
      <c r="K265" s="91">
        <f t="shared" si="42"/>
        <v>196.25</v>
      </c>
      <c r="L265" s="91">
        <f t="shared" si="43"/>
        <v>1267.727651631486</v>
      </c>
      <c r="M265" s="91">
        <f t="shared" si="44"/>
        <v>0</v>
      </c>
      <c r="N265" s="91">
        <f t="shared" si="45"/>
        <v>1463.977651631486</v>
      </c>
      <c r="O265" s="91">
        <f t="shared" si="46"/>
        <v>115895.19489923111</v>
      </c>
      <c r="P265" s="91">
        <f t="shared" si="53"/>
        <v>85650.389999999956</v>
      </c>
      <c r="Q265" s="90">
        <v>215</v>
      </c>
      <c r="R265" s="89">
        <f>IFERROR(EOMONTH(DATE($F$10,$F$9,1),215-1),"")</f>
        <v>51470</v>
      </c>
      <c r="S265" s="88">
        <f t="shared" si="54"/>
        <v>131202.60807741634</v>
      </c>
      <c r="T265" s="88">
        <f t="shared" si="47"/>
        <v>382.67</v>
      </c>
      <c r="U265" s="88">
        <f t="shared" si="48"/>
        <v>1344.4813173952505</v>
      </c>
      <c r="V265" s="88">
        <f t="shared" si="49"/>
        <v>0</v>
      </c>
      <c r="W265" s="88">
        <f t="shared" si="50"/>
        <v>1727.1513173952505</v>
      </c>
      <c r="X265" s="88">
        <f t="shared" si="51"/>
        <v>129858.12676002108</v>
      </c>
      <c r="Y265" s="88">
        <f t="shared" si="55"/>
        <v>156195.65999999992</v>
      </c>
    </row>
    <row r="266" spans="8:25">
      <c r="H266" s="87">
        <v>216</v>
      </c>
      <c r="I266" s="86">
        <f>IFERROR(EOMONTH(DATE($C$10,$C$9,1),216-1),"")</f>
        <v>51501</v>
      </c>
      <c r="J266" s="85">
        <f t="shared" si="52"/>
        <v>115895.19489923111</v>
      </c>
      <c r="K266" s="85">
        <f t="shared" si="42"/>
        <v>194.12</v>
      </c>
      <c r="L266" s="85">
        <f t="shared" si="43"/>
        <v>1269.8576516314861</v>
      </c>
      <c r="M266" s="85">
        <f t="shared" si="44"/>
        <v>0</v>
      </c>
      <c r="N266" s="85">
        <f t="shared" si="45"/>
        <v>1463.977651631486</v>
      </c>
      <c r="O266" s="85">
        <f t="shared" si="46"/>
        <v>114625.33724759961</v>
      </c>
      <c r="P266" s="85">
        <f t="shared" si="53"/>
        <v>85844.509999999951</v>
      </c>
      <c r="Q266" s="87">
        <v>216</v>
      </c>
      <c r="R266" s="86">
        <f>IFERROR(EOMONTH(DATE($F$10,$F$9,1),216-1),"")</f>
        <v>51501</v>
      </c>
      <c r="S266" s="85">
        <f t="shared" si="54"/>
        <v>129858.12676002108</v>
      </c>
      <c r="T266" s="85">
        <f t="shared" si="47"/>
        <v>378.75</v>
      </c>
      <c r="U266" s="85">
        <f t="shared" si="48"/>
        <v>1348.4013173952505</v>
      </c>
      <c r="V266" s="85">
        <f t="shared" si="49"/>
        <v>0</v>
      </c>
      <c r="W266" s="85">
        <f t="shared" si="50"/>
        <v>1727.1513173952505</v>
      </c>
      <c r="X266" s="85">
        <f t="shared" si="51"/>
        <v>128509.72544262583</v>
      </c>
      <c r="Y266" s="85">
        <f t="shared" si="55"/>
        <v>156574.40999999992</v>
      </c>
    </row>
    <row r="267" spans="8:25">
      <c r="H267" s="93">
        <v>217</v>
      </c>
      <c r="I267" s="92">
        <f>IFERROR(EOMONTH(DATE($C$10,$C$9,1),217-1),"")</f>
        <v>51532</v>
      </c>
      <c r="J267" s="91">
        <f t="shared" si="52"/>
        <v>114625.33724759961</v>
      </c>
      <c r="K267" s="91">
        <f t="shared" si="42"/>
        <v>192</v>
      </c>
      <c r="L267" s="91">
        <f t="shared" si="43"/>
        <v>1271.977651631486</v>
      </c>
      <c r="M267" s="91">
        <f t="shared" si="44"/>
        <v>0</v>
      </c>
      <c r="N267" s="91">
        <f t="shared" si="45"/>
        <v>1463.977651631486</v>
      </c>
      <c r="O267" s="91">
        <f t="shared" si="46"/>
        <v>113353.35959596813</v>
      </c>
      <c r="P267" s="91">
        <f t="shared" si="53"/>
        <v>86036.509999999951</v>
      </c>
      <c r="Q267" s="90">
        <v>217</v>
      </c>
      <c r="R267" s="89">
        <f>IFERROR(EOMONTH(DATE($F$10,$F$9,1),217-1),"")</f>
        <v>51532</v>
      </c>
      <c r="S267" s="88">
        <f t="shared" si="54"/>
        <v>128509.72544262583</v>
      </c>
      <c r="T267" s="88">
        <f t="shared" si="47"/>
        <v>374.82</v>
      </c>
      <c r="U267" s="88">
        <f t="shared" si="48"/>
        <v>1352.3313173952506</v>
      </c>
      <c r="V267" s="88">
        <f t="shared" si="49"/>
        <v>0</v>
      </c>
      <c r="W267" s="88">
        <f t="shared" si="50"/>
        <v>1727.1513173952505</v>
      </c>
      <c r="X267" s="88">
        <f t="shared" si="51"/>
        <v>127157.39412523058</v>
      </c>
      <c r="Y267" s="88">
        <f t="shared" si="55"/>
        <v>156949.22999999992</v>
      </c>
    </row>
    <row r="268" spans="8:25">
      <c r="H268" s="87">
        <v>218</v>
      </c>
      <c r="I268" s="86">
        <f>IFERROR(EOMONTH(DATE($C$10,$C$9,1),218-1),"")</f>
        <v>51560</v>
      </c>
      <c r="J268" s="85">
        <f t="shared" si="52"/>
        <v>113353.35959596813</v>
      </c>
      <c r="K268" s="85">
        <f t="shared" si="42"/>
        <v>189.87</v>
      </c>
      <c r="L268" s="85">
        <f t="shared" si="43"/>
        <v>1274.1076516314861</v>
      </c>
      <c r="M268" s="85">
        <f t="shared" si="44"/>
        <v>0</v>
      </c>
      <c r="N268" s="85">
        <f t="shared" si="45"/>
        <v>1463.977651631486</v>
      </c>
      <c r="O268" s="85">
        <f t="shared" si="46"/>
        <v>112079.25194433663</v>
      </c>
      <c r="P268" s="85">
        <f t="shared" si="53"/>
        <v>86226.379999999946</v>
      </c>
      <c r="Q268" s="87">
        <v>218</v>
      </c>
      <c r="R268" s="86">
        <f>IFERROR(EOMONTH(DATE($F$10,$F$9,1),218-1),"")</f>
        <v>51560</v>
      </c>
      <c r="S268" s="85">
        <f t="shared" si="54"/>
        <v>127157.39412523058</v>
      </c>
      <c r="T268" s="85">
        <f t="shared" si="47"/>
        <v>370.88</v>
      </c>
      <c r="U268" s="85">
        <f t="shared" si="48"/>
        <v>1356.2713173952507</v>
      </c>
      <c r="V268" s="85">
        <f t="shared" si="49"/>
        <v>0</v>
      </c>
      <c r="W268" s="85">
        <f t="shared" si="50"/>
        <v>1727.1513173952508</v>
      </c>
      <c r="X268" s="85">
        <f t="shared" si="51"/>
        <v>125801.12280783533</v>
      </c>
      <c r="Y268" s="85">
        <f t="shared" si="55"/>
        <v>157320.10999999993</v>
      </c>
    </row>
    <row r="269" spans="8:25">
      <c r="H269" s="93">
        <v>219</v>
      </c>
      <c r="I269" s="92">
        <f>IFERROR(EOMONTH(DATE($C$10,$C$9,1),219-1),"")</f>
        <v>51591</v>
      </c>
      <c r="J269" s="91">
        <f t="shared" si="52"/>
        <v>112079.25194433663</v>
      </c>
      <c r="K269" s="91">
        <f t="shared" si="42"/>
        <v>187.73</v>
      </c>
      <c r="L269" s="91">
        <f t="shared" si="43"/>
        <v>1276.247651631486</v>
      </c>
      <c r="M269" s="91">
        <f t="shared" si="44"/>
        <v>0</v>
      </c>
      <c r="N269" s="91">
        <f t="shared" si="45"/>
        <v>1463.977651631486</v>
      </c>
      <c r="O269" s="91">
        <f t="shared" si="46"/>
        <v>110803.00429270514</v>
      </c>
      <c r="P269" s="91">
        <f t="shared" si="53"/>
        <v>86414.109999999942</v>
      </c>
      <c r="Q269" s="90">
        <v>219</v>
      </c>
      <c r="R269" s="89">
        <f>IFERROR(EOMONTH(DATE($F$10,$F$9,1),219-1),"")</f>
        <v>51591</v>
      </c>
      <c r="S269" s="88">
        <f t="shared" si="54"/>
        <v>125801.12280783533</v>
      </c>
      <c r="T269" s="88">
        <f t="shared" si="47"/>
        <v>366.92</v>
      </c>
      <c r="U269" s="88">
        <f t="shared" si="48"/>
        <v>1360.2313173952505</v>
      </c>
      <c r="V269" s="88">
        <f t="shared" si="49"/>
        <v>0</v>
      </c>
      <c r="W269" s="88">
        <f t="shared" si="50"/>
        <v>1727.1513173952505</v>
      </c>
      <c r="X269" s="88">
        <f t="shared" si="51"/>
        <v>124440.89149044007</v>
      </c>
      <c r="Y269" s="88">
        <f t="shared" si="55"/>
        <v>157687.02999999994</v>
      </c>
    </row>
    <row r="270" spans="8:25">
      <c r="H270" s="87">
        <v>220</v>
      </c>
      <c r="I270" s="86">
        <f>IFERROR(EOMONTH(DATE($C$10,$C$9,1),220-1),"")</f>
        <v>51621</v>
      </c>
      <c r="J270" s="85">
        <f t="shared" si="52"/>
        <v>110803.00429270514</v>
      </c>
      <c r="K270" s="85">
        <f t="shared" si="42"/>
        <v>185.6</v>
      </c>
      <c r="L270" s="85">
        <f t="shared" si="43"/>
        <v>1278.3776516314861</v>
      </c>
      <c r="M270" s="85">
        <f t="shared" si="44"/>
        <v>0</v>
      </c>
      <c r="N270" s="85">
        <f t="shared" si="45"/>
        <v>1463.977651631486</v>
      </c>
      <c r="O270" s="85">
        <f t="shared" si="46"/>
        <v>109524.62664107366</v>
      </c>
      <c r="P270" s="85">
        <f t="shared" si="53"/>
        <v>86599.709999999948</v>
      </c>
      <c r="Q270" s="87">
        <v>220</v>
      </c>
      <c r="R270" s="86">
        <f>IFERROR(EOMONTH(DATE($F$10,$F$9,1),220-1),"")</f>
        <v>51621</v>
      </c>
      <c r="S270" s="85">
        <f t="shared" si="54"/>
        <v>124440.89149044007</v>
      </c>
      <c r="T270" s="85">
        <f t="shared" si="47"/>
        <v>362.95</v>
      </c>
      <c r="U270" s="85">
        <f t="shared" si="48"/>
        <v>1364.2013173952505</v>
      </c>
      <c r="V270" s="85">
        <f t="shared" si="49"/>
        <v>0</v>
      </c>
      <c r="W270" s="85">
        <f t="shared" si="50"/>
        <v>1727.1513173952505</v>
      </c>
      <c r="X270" s="85">
        <f t="shared" si="51"/>
        <v>123076.69017304483</v>
      </c>
      <c r="Y270" s="85">
        <f t="shared" si="55"/>
        <v>158049.97999999995</v>
      </c>
    </row>
    <row r="271" spans="8:25">
      <c r="H271" s="93">
        <v>221</v>
      </c>
      <c r="I271" s="92">
        <f>IFERROR(EOMONTH(DATE($C$10,$C$9,1),221-1),"")</f>
        <v>51652</v>
      </c>
      <c r="J271" s="91">
        <f t="shared" si="52"/>
        <v>109524.62664107366</v>
      </c>
      <c r="K271" s="91">
        <f t="shared" si="42"/>
        <v>183.45</v>
      </c>
      <c r="L271" s="91">
        <f t="shared" si="43"/>
        <v>1280.5276516314859</v>
      </c>
      <c r="M271" s="91">
        <f t="shared" si="44"/>
        <v>0</v>
      </c>
      <c r="N271" s="91">
        <f t="shared" si="45"/>
        <v>1463.977651631486</v>
      </c>
      <c r="O271" s="91">
        <f t="shared" si="46"/>
        <v>108244.09898944217</v>
      </c>
      <c r="P271" s="91">
        <f t="shared" si="53"/>
        <v>86783.159999999945</v>
      </c>
      <c r="Q271" s="90">
        <v>221</v>
      </c>
      <c r="R271" s="89">
        <f>IFERROR(EOMONTH(DATE($F$10,$F$9,1),221-1),"")</f>
        <v>51652</v>
      </c>
      <c r="S271" s="88">
        <f t="shared" si="54"/>
        <v>123076.69017304483</v>
      </c>
      <c r="T271" s="88">
        <f t="shared" si="47"/>
        <v>358.97</v>
      </c>
      <c r="U271" s="88">
        <f t="shared" si="48"/>
        <v>1368.1813173952505</v>
      </c>
      <c r="V271" s="88">
        <f t="shared" si="49"/>
        <v>0</v>
      </c>
      <c r="W271" s="88">
        <f t="shared" si="50"/>
        <v>1727.1513173952505</v>
      </c>
      <c r="X271" s="88">
        <f t="shared" si="51"/>
        <v>121708.50885564958</v>
      </c>
      <c r="Y271" s="88">
        <f t="shared" si="55"/>
        <v>158408.94999999995</v>
      </c>
    </row>
    <row r="272" spans="8:25">
      <c r="H272" s="87">
        <v>222</v>
      </c>
      <c r="I272" s="86">
        <f>IFERROR(EOMONTH(DATE($C$10,$C$9,1),222-1),"")</f>
        <v>51682</v>
      </c>
      <c r="J272" s="85">
        <f t="shared" si="52"/>
        <v>108244.09898944217</v>
      </c>
      <c r="K272" s="85">
        <f t="shared" si="42"/>
        <v>181.31</v>
      </c>
      <c r="L272" s="85">
        <f t="shared" si="43"/>
        <v>1282.667651631486</v>
      </c>
      <c r="M272" s="85">
        <f t="shared" si="44"/>
        <v>0</v>
      </c>
      <c r="N272" s="85">
        <f t="shared" si="45"/>
        <v>1463.977651631486</v>
      </c>
      <c r="O272" s="85">
        <f t="shared" si="46"/>
        <v>106961.43133781067</v>
      </c>
      <c r="P272" s="85">
        <f t="shared" si="53"/>
        <v>86964.469999999943</v>
      </c>
      <c r="Q272" s="87">
        <v>222</v>
      </c>
      <c r="R272" s="86">
        <f>IFERROR(EOMONTH(DATE($F$10,$F$9,1),222-1),"")</f>
        <v>51682</v>
      </c>
      <c r="S272" s="85">
        <f t="shared" si="54"/>
        <v>121708.50885564958</v>
      </c>
      <c r="T272" s="85">
        <f t="shared" si="47"/>
        <v>354.98</v>
      </c>
      <c r="U272" s="85">
        <f t="shared" si="48"/>
        <v>1372.1713173952505</v>
      </c>
      <c r="V272" s="85">
        <f t="shared" si="49"/>
        <v>0</v>
      </c>
      <c r="W272" s="85">
        <f t="shared" si="50"/>
        <v>1727.1513173952505</v>
      </c>
      <c r="X272" s="85">
        <f t="shared" si="51"/>
        <v>120336.33753825433</v>
      </c>
      <c r="Y272" s="85">
        <f t="shared" si="55"/>
        <v>158763.92999999996</v>
      </c>
    </row>
    <row r="273" spans="8:25">
      <c r="H273" s="93">
        <v>223</v>
      </c>
      <c r="I273" s="92">
        <f>IFERROR(EOMONTH(DATE($C$10,$C$9,1),223-1),"")</f>
        <v>51713</v>
      </c>
      <c r="J273" s="91">
        <f t="shared" si="52"/>
        <v>106961.43133781067</v>
      </c>
      <c r="K273" s="91">
        <f t="shared" si="42"/>
        <v>179.16</v>
      </c>
      <c r="L273" s="91">
        <f t="shared" si="43"/>
        <v>1284.8176516314859</v>
      </c>
      <c r="M273" s="91">
        <f t="shared" si="44"/>
        <v>0</v>
      </c>
      <c r="N273" s="91">
        <f t="shared" si="45"/>
        <v>1463.977651631486</v>
      </c>
      <c r="O273" s="91">
        <f t="shared" si="46"/>
        <v>105676.61368617919</v>
      </c>
      <c r="P273" s="91">
        <f t="shared" si="53"/>
        <v>87143.629999999946</v>
      </c>
      <c r="Q273" s="90">
        <v>223</v>
      </c>
      <c r="R273" s="89">
        <f>IFERROR(EOMONTH(DATE($F$10,$F$9,1),223-1),"")</f>
        <v>51713</v>
      </c>
      <c r="S273" s="88">
        <f t="shared" si="54"/>
        <v>120336.33753825433</v>
      </c>
      <c r="T273" s="88">
        <f t="shared" si="47"/>
        <v>350.98</v>
      </c>
      <c r="U273" s="88">
        <f t="shared" si="48"/>
        <v>1376.1713173952505</v>
      </c>
      <c r="V273" s="88">
        <f t="shared" si="49"/>
        <v>0</v>
      </c>
      <c r="W273" s="88">
        <f t="shared" si="50"/>
        <v>1727.1513173952505</v>
      </c>
      <c r="X273" s="88">
        <f t="shared" si="51"/>
        <v>118960.16622085909</v>
      </c>
      <c r="Y273" s="88">
        <f t="shared" si="55"/>
        <v>159114.90999999997</v>
      </c>
    </row>
    <row r="274" spans="8:25">
      <c r="H274" s="87">
        <v>224</v>
      </c>
      <c r="I274" s="86">
        <f>IFERROR(EOMONTH(DATE($C$10,$C$9,1),224-1),"")</f>
        <v>51744</v>
      </c>
      <c r="J274" s="85">
        <f t="shared" si="52"/>
        <v>105676.61368617919</v>
      </c>
      <c r="K274" s="85">
        <f t="shared" si="42"/>
        <v>177.01</v>
      </c>
      <c r="L274" s="85">
        <f t="shared" si="43"/>
        <v>1286.967651631486</v>
      </c>
      <c r="M274" s="85">
        <f t="shared" si="44"/>
        <v>0</v>
      </c>
      <c r="N274" s="85">
        <f t="shared" si="45"/>
        <v>1463.977651631486</v>
      </c>
      <c r="O274" s="85">
        <f t="shared" si="46"/>
        <v>104389.64603454771</v>
      </c>
      <c r="P274" s="85">
        <f t="shared" si="53"/>
        <v>87320.639999999941</v>
      </c>
      <c r="Q274" s="87">
        <v>224</v>
      </c>
      <c r="R274" s="86">
        <f>IFERROR(EOMONTH(DATE($F$10,$F$9,1),224-1),"")</f>
        <v>51744</v>
      </c>
      <c r="S274" s="85">
        <f t="shared" si="54"/>
        <v>118960.16622085909</v>
      </c>
      <c r="T274" s="85">
        <f t="shared" si="47"/>
        <v>346.97</v>
      </c>
      <c r="U274" s="85">
        <f t="shared" si="48"/>
        <v>1380.1813173952505</v>
      </c>
      <c r="V274" s="85">
        <f t="shared" si="49"/>
        <v>0</v>
      </c>
      <c r="W274" s="85">
        <f t="shared" si="50"/>
        <v>1727.1513173952505</v>
      </c>
      <c r="X274" s="85">
        <f t="shared" si="51"/>
        <v>117579.98490346383</v>
      </c>
      <c r="Y274" s="85">
        <f t="shared" si="55"/>
        <v>159461.87999999998</v>
      </c>
    </row>
    <row r="275" spans="8:25">
      <c r="H275" s="93">
        <v>225</v>
      </c>
      <c r="I275" s="92">
        <f>IFERROR(EOMONTH(DATE($C$10,$C$9,1),225-1),"")</f>
        <v>51774</v>
      </c>
      <c r="J275" s="91">
        <f t="shared" si="52"/>
        <v>104389.64603454771</v>
      </c>
      <c r="K275" s="91">
        <f t="shared" si="42"/>
        <v>174.85</v>
      </c>
      <c r="L275" s="91">
        <f t="shared" si="43"/>
        <v>1289.1276516314861</v>
      </c>
      <c r="M275" s="91">
        <f t="shared" si="44"/>
        <v>0</v>
      </c>
      <c r="N275" s="91">
        <f t="shared" si="45"/>
        <v>1463.977651631486</v>
      </c>
      <c r="O275" s="91">
        <f t="shared" si="46"/>
        <v>103100.51838291623</v>
      </c>
      <c r="P275" s="91">
        <f t="shared" si="53"/>
        <v>87495.489999999947</v>
      </c>
      <c r="Q275" s="90">
        <v>225</v>
      </c>
      <c r="R275" s="89">
        <f>IFERROR(EOMONTH(DATE($F$10,$F$9,1),225-1),"")</f>
        <v>51774</v>
      </c>
      <c r="S275" s="88">
        <f t="shared" si="54"/>
        <v>117579.98490346383</v>
      </c>
      <c r="T275" s="88">
        <f t="shared" si="47"/>
        <v>342.94</v>
      </c>
      <c r="U275" s="88">
        <f t="shared" si="48"/>
        <v>1384.2113173952505</v>
      </c>
      <c r="V275" s="88">
        <f t="shared" si="49"/>
        <v>0</v>
      </c>
      <c r="W275" s="88">
        <f t="shared" si="50"/>
        <v>1727.1513173952505</v>
      </c>
      <c r="X275" s="88">
        <f t="shared" si="51"/>
        <v>116195.77358606858</v>
      </c>
      <c r="Y275" s="88">
        <f t="shared" si="55"/>
        <v>159804.81999999998</v>
      </c>
    </row>
    <row r="276" spans="8:25">
      <c r="H276" s="87">
        <v>226</v>
      </c>
      <c r="I276" s="86">
        <f>IFERROR(EOMONTH(DATE($C$10,$C$9,1),226-1),"")</f>
        <v>51805</v>
      </c>
      <c r="J276" s="85">
        <f t="shared" si="52"/>
        <v>103100.51838291623</v>
      </c>
      <c r="K276" s="85">
        <f t="shared" si="42"/>
        <v>172.69</v>
      </c>
      <c r="L276" s="85">
        <f t="shared" si="43"/>
        <v>1291.2876516314859</v>
      </c>
      <c r="M276" s="85">
        <f t="shared" si="44"/>
        <v>0</v>
      </c>
      <c r="N276" s="85">
        <f t="shared" si="45"/>
        <v>1463.977651631486</v>
      </c>
      <c r="O276" s="85">
        <f t="shared" si="46"/>
        <v>101809.23073128474</v>
      </c>
      <c r="P276" s="85">
        <f t="shared" si="53"/>
        <v>87668.179999999949</v>
      </c>
      <c r="Q276" s="87">
        <v>226</v>
      </c>
      <c r="R276" s="86">
        <f>IFERROR(EOMONTH(DATE($F$10,$F$9,1),226-1),"")</f>
        <v>51805</v>
      </c>
      <c r="S276" s="85">
        <f t="shared" si="54"/>
        <v>116195.77358606858</v>
      </c>
      <c r="T276" s="85">
        <f t="shared" si="47"/>
        <v>338.9</v>
      </c>
      <c r="U276" s="85">
        <f t="shared" si="48"/>
        <v>1388.2513173952507</v>
      </c>
      <c r="V276" s="85">
        <f t="shared" si="49"/>
        <v>0</v>
      </c>
      <c r="W276" s="85">
        <f t="shared" si="50"/>
        <v>1727.1513173952508</v>
      </c>
      <c r="X276" s="85">
        <f t="shared" si="51"/>
        <v>114807.52226867333</v>
      </c>
      <c r="Y276" s="85">
        <f t="shared" si="55"/>
        <v>160143.71999999997</v>
      </c>
    </row>
    <row r="277" spans="8:25">
      <c r="H277" s="93">
        <v>227</v>
      </c>
      <c r="I277" s="92">
        <f>IFERROR(EOMONTH(DATE($C$10,$C$9,1),227-1),"")</f>
        <v>51835</v>
      </c>
      <c r="J277" s="91">
        <f t="shared" si="52"/>
        <v>101809.23073128474</v>
      </c>
      <c r="K277" s="91">
        <f t="shared" si="42"/>
        <v>170.53</v>
      </c>
      <c r="L277" s="91">
        <f t="shared" si="43"/>
        <v>1293.447651631486</v>
      </c>
      <c r="M277" s="91">
        <f t="shared" si="44"/>
        <v>0</v>
      </c>
      <c r="N277" s="91">
        <f t="shared" si="45"/>
        <v>1463.977651631486</v>
      </c>
      <c r="O277" s="91">
        <f t="shared" si="46"/>
        <v>100515.78307965325</v>
      </c>
      <c r="P277" s="91">
        <f t="shared" si="53"/>
        <v>87838.709999999948</v>
      </c>
      <c r="Q277" s="90">
        <v>227</v>
      </c>
      <c r="R277" s="89">
        <f>IFERROR(EOMONTH(DATE($F$10,$F$9,1),227-1),"")</f>
        <v>51835</v>
      </c>
      <c r="S277" s="88">
        <f t="shared" si="54"/>
        <v>114807.52226867333</v>
      </c>
      <c r="T277" s="88">
        <f t="shared" si="47"/>
        <v>334.86</v>
      </c>
      <c r="U277" s="88">
        <f t="shared" si="48"/>
        <v>1392.2913173952506</v>
      </c>
      <c r="V277" s="88">
        <f t="shared" si="49"/>
        <v>0</v>
      </c>
      <c r="W277" s="88">
        <f t="shared" si="50"/>
        <v>1727.1513173952508</v>
      </c>
      <c r="X277" s="88">
        <f t="shared" si="51"/>
        <v>113415.23095127808</v>
      </c>
      <c r="Y277" s="88">
        <f t="shared" si="55"/>
        <v>160478.57999999996</v>
      </c>
    </row>
    <row r="278" spans="8:25">
      <c r="H278" s="87">
        <v>228</v>
      </c>
      <c r="I278" s="86">
        <f>IFERROR(EOMONTH(DATE($C$10,$C$9,1),228-1),"")</f>
        <v>51866</v>
      </c>
      <c r="J278" s="85">
        <f t="shared" si="52"/>
        <v>100515.78307965325</v>
      </c>
      <c r="K278" s="85">
        <f t="shared" si="42"/>
        <v>168.36</v>
      </c>
      <c r="L278" s="85">
        <f t="shared" si="43"/>
        <v>1295.6176516314858</v>
      </c>
      <c r="M278" s="85">
        <f t="shared" si="44"/>
        <v>0</v>
      </c>
      <c r="N278" s="85">
        <f t="shared" si="45"/>
        <v>1463.977651631486</v>
      </c>
      <c r="O278" s="85">
        <f t="shared" si="46"/>
        <v>99220.165428021763</v>
      </c>
      <c r="P278" s="85">
        <f t="shared" si="53"/>
        <v>88007.069999999949</v>
      </c>
      <c r="Q278" s="87">
        <v>228</v>
      </c>
      <c r="R278" s="86">
        <f>IFERROR(EOMONTH(DATE($F$10,$F$9,1),228-1),"")</f>
        <v>51866</v>
      </c>
      <c r="S278" s="85">
        <f t="shared" si="54"/>
        <v>113415.23095127808</v>
      </c>
      <c r="T278" s="85">
        <f t="shared" si="47"/>
        <v>330.79</v>
      </c>
      <c r="U278" s="85">
        <f t="shared" si="48"/>
        <v>1396.3613173952506</v>
      </c>
      <c r="V278" s="85">
        <f t="shared" si="49"/>
        <v>0</v>
      </c>
      <c r="W278" s="85">
        <f t="shared" si="50"/>
        <v>1727.1513173952505</v>
      </c>
      <c r="X278" s="85">
        <f t="shared" si="51"/>
        <v>112018.86963388283</v>
      </c>
      <c r="Y278" s="85">
        <f t="shared" si="55"/>
        <v>160809.36999999997</v>
      </c>
    </row>
    <row r="279" spans="8:25">
      <c r="H279" s="93">
        <v>229</v>
      </c>
      <c r="I279" s="92">
        <f>IFERROR(EOMONTH(DATE($C$10,$C$9,1),229-1),"")</f>
        <v>51897</v>
      </c>
      <c r="J279" s="91">
        <f t="shared" si="52"/>
        <v>99220.165428021763</v>
      </c>
      <c r="K279" s="91">
        <f t="shared" si="42"/>
        <v>166.19</v>
      </c>
      <c r="L279" s="91">
        <f t="shared" si="43"/>
        <v>1297.7876516314859</v>
      </c>
      <c r="M279" s="91">
        <f t="shared" si="44"/>
        <v>0</v>
      </c>
      <c r="N279" s="91">
        <f t="shared" si="45"/>
        <v>1463.977651631486</v>
      </c>
      <c r="O279" s="91">
        <f t="shared" si="46"/>
        <v>97922.377776390276</v>
      </c>
      <c r="P279" s="91">
        <f t="shared" si="53"/>
        <v>88173.259999999951</v>
      </c>
      <c r="Q279" s="90">
        <v>229</v>
      </c>
      <c r="R279" s="89">
        <f>IFERROR(EOMONTH(DATE($F$10,$F$9,1),229-1),"")</f>
        <v>51897</v>
      </c>
      <c r="S279" s="88">
        <f t="shared" si="54"/>
        <v>112018.86963388283</v>
      </c>
      <c r="T279" s="88">
        <f t="shared" si="47"/>
        <v>326.72000000000003</v>
      </c>
      <c r="U279" s="88">
        <f t="shared" si="48"/>
        <v>1400.4313173952505</v>
      </c>
      <c r="V279" s="88">
        <f t="shared" si="49"/>
        <v>0</v>
      </c>
      <c r="W279" s="88">
        <f t="shared" si="50"/>
        <v>1727.1513173952505</v>
      </c>
      <c r="X279" s="88">
        <f t="shared" si="51"/>
        <v>110618.43831648758</v>
      </c>
      <c r="Y279" s="88">
        <f t="shared" si="55"/>
        <v>161136.08999999997</v>
      </c>
    </row>
    <row r="280" spans="8:25">
      <c r="H280" s="87">
        <v>230</v>
      </c>
      <c r="I280" s="86">
        <f>IFERROR(EOMONTH(DATE($C$10,$C$9,1),230-1),"")</f>
        <v>51925</v>
      </c>
      <c r="J280" s="85">
        <f t="shared" si="52"/>
        <v>97922.377776390276</v>
      </c>
      <c r="K280" s="85">
        <f t="shared" si="42"/>
        <v>164.02</v>
      </c>
      <c r="L280" s="85">
        <f t="shared" si="43"/>
        <v>1299.957651631486</v>
      </c>
      <c r="M280" s="85">
        <f t="shared" si="44"/>
        <v>0</v>
      </c>
      <c r="N280" s="85">
        <f t="shared" si="45"/>
        <v>1463.977651631486</v>
      </c>
      <c r="O280" s="85">
        <f t="shared" si="46"/>
        <v>96622.420124758792</v>
      </c>
      <c r="P280" s="85">
        <f t="shared" si="53"/>
        <v>88337.279999999955</v>
      </c>
      <c r="Q280" s="87">
        <v>230</v>
      </c>
      <c r="R280" s="86">
        <f>IFERROR(EOMONTH(DATE($F$10,$F$9,1),230-1),"")</f>
        <v>51925</v>
      </c>
      <c r="S280" s="85">
        <f t="shared" si="54"/>
        <v>110618.43831648758</v>
      </c>
      <c r="T280" s="85">
        <f t="shared" si="47"/>
        <v>322.64</v>
      </c>
      <c r="U280" s="85">
        <f t="shared" si="48"/>
        <v>1404.5113173952504</v>
      </c>
      <c r="V280" s="85">
        <f t="shared" si="49"/>
        <v>0</v>
      </c>
      <c r="W280" s="85">
        <f t="shared" si="50"/>
        <v>1727.1513173952503</v>
      </c>
      <c r="X280" s="85">
        <f t="shared" si="51"/>
        <v>109213.92699909232</v>
      </c>
      <c r="Y280" s="85">
        <f t="shared" si="55"/>
        <v>161458.72999999998</v>
      </c>
    </row>
    <row r="281" spans="8:25">
      <c r="H281" s="93">
        <v>231</v>
      </c>
      <c r="I281" s="92">
        <f>IFERROR(EOMONTH(DATE($C$10,$C$9,1),231-1),"")</f>
        <v>51956</v>
      </c>
      <c r="J281" s="91">
        <f t="shared" si="52"/>
        <v>96622.420124758792</v>
      </c>
      <c r="K281" s="91">
        <f t="shared" si="42"/>
        <v>161.84</v>
      </c>
      <c r="L281" s="91">
        <f t="shared" si="43"/>
        <v>1302.1376516314861</v>
      </c>
      <c r="M281" s="91">
        <f t="shared" si="44"/>
        <v>0</v>
      </c>
      <c r="N281" s="91">
        <f t="shared" si="45"/>
        <v>1463.977651631486</v>
      </c>
      <c r="O281" s="91">
        <f t="shared" si="46"/>
        <v>95320.282473127299</v>
      </c>
      <c r="P281" s="91">
        <f t="shared" si="53"/>
        <v>88499.119999999952</v>
      </c>
      <c r="Q281" s="90">
        <v>231</v>
      </c>
      <c r="R281" s="89">
        <f>IFERROR(EOMONTH(DATE($F$10,$F$9,1),231-1),"")</f>
        <v>51956</v>
      </c>
      <c r="S281" s="88">
        <f t="shared" si="54"/>
        <v>109213.92699909232</v>
      </c>
      <c r="T281" s="88">
        <f t="shared" si="47"/>
        <v>318.54000000000002</v>
      </c>
      <c r="U281" s="88">
        <f t="shared" si="48"/>
        <v>1408.6113173952506</v>
      </c>
      <c r="V281" s="88">
        <f t="shared" si="49"/>
        <v>0</v>
      </c>
      <c r="W281" s="88">
        <f t="shared" si="50"/>
        <v>1727.1513173952505</v>
      </c>
      <c r="X281" s="88">
        <f t="shared" si="51"/>
        <v>107805.31568169707</v>
      </c>
      <c r="Y281" s="88">
        <f t="shared" si="55"/>
        <v>161777.26999999999</v>
      </c>
    </row>
    <row r="282" spans="8:25">
      <c r="H282" s="87">
        <v>232</v>
      </c>
      <c r="I282" s="86">
        <f>IFERROR(EOMONTH(DATE($C$10,$C$9,1),232-1),"")</f>
        <v>51986</v>
      </c>
      <c r="J282" s="85">
        <f t="shared" si="52"/>
        <v>95320.282473127299</v>
      </c>
      <c r="K282" s="85">
        <f t="shared" si="42"/>
        <v>159.66</v>
      </c>
      <c r="L282" s="85">
        <f t="shared" si="43"/>
        <v>1304.3176516314859</v>
      </c>
      <c r="M282" s="85">
        <f t="shared" si="44"/>
        <v>0</v>
      </c>
      <c r="N282" s="85">
        <f t="shared" si="45"/>
        <v>1463.977651631486</v>
      </c>
      <c r="O282" s="85">
        <f t="shared" si="46"/>
        <v>94015.964821495814</v>
      </c>
      <c r="P282" s="85">
        <f t="shared" si="53"/>
        <v>88658.779999999955</v>
      </c>
      <c r="Q282" s="87">
        <v>232</v>
      </c>
      <c r="R282" s="86">
        <f>IFERROR(EOMONTH(DATE($F$10,$F$9,1),232-1),"")</f>
        <v>51986</v>
      </c>
      <c r="S282" s="85">
        <f t="shared" si="54"/>
        <v>107805.31568169707</v>
      </c>
      <c r="T282" s="85">
        <f t="shared" si="47"/>
        <v>314.43</v>
      </c>
      <c r="U282" s="85">
        <f t="shared" si="48"/>
        <v>1412.7213173952505</v>
      </c>
      <c r="V282" s="85">
        <f t="shared" si="49"/>
        <v>0</v>
      </c>
      <c r="W282" s="85">
        <f t="shared" si="50"/>
        <v>1727.1513173952505</v>
      </c>
      <c r="X282" s="85">
        <f t="shared" si="51"/>
        <v>106392.59436430183</v>
      </c>
      <c r="Y282" s="85">
        <f t="shared" si="55"/>
        <v>162091.69999999998</v>
      </c>
    </row>
    <row r="283" spans="8:25">
      <c r="H283" s="93">
        <v>233</v>
      </c>
      <c r="I283" s="92">
        <f>IFERROR(EOMONTH(DATE($C$10,$C$9,1),233-1),"")</f>
        <v>52017</v>
      </c>
      <c r="J283" s="91">
        <f t="shared" si="52"/>
        <v>94015.964821495814</v>
      </c>
      <c r="K283" s="91">
        <f t="shared" si="42"/>
        <v>157.47999999999999</v>
      </c>
      <c r="L283" s="91">
        <f t="shared" si="43"/>
        <v>1306.497651631486</v>
      </c>
      <c r="M283" s="91">
        <f t="shared" si="44"/>
        <v>0</v>
      </c>
      <c r="N283" s="91">
        <f t="shared" si="45"/>
        <v>1463.977651631486</v>
      </c>
      <c r="O283" s="91">
        <f t="shared" si="46"/>
        <v>92709.467169864321</v>
      </c>
      <c r="P283" s="91">
        <f t="shared" si="53"/>
        <v>88816.259999999951</v>
      </c>
      <c r="Q283" s="90">
        <v>233</v>
      </c>
      <c r="R283" s="89">
        <f>IFERROR(EOMONTH(DATE($F$10,$F$9,1),233-1),"")</f>
        <v>52017</v>
      </c>
      <c r="S283" s="88">
        <f t="shared" si="54"/>
        <v>106392.59436430183</v>
      </c>
      <c r="T283" s="88">
        <f t="shared" si="47"/>
        <v>310.31</v>
      </c>
      <c r="U283" s="88">
        <f t="shared" si="48"/>
        <v>1416.8413173952506</v>
      </c>
      <c r="V283" s="88">
        <f t="shared" si="49"/>
        <v>0</v>
      </c>
      <c r="W283" s="88">
        <f t="shared" si="50"/>
        <v>1727.1513173952505</v>
      </c>
      <c r="X283" s="88">
        <f t="shared" si="51"/>
        <v>104975.75304690657</v>
      </c>
      <c r="Y283" s="88">
        <f t="shared" si="55"/>
        <v>162402.00999999998</v>
      </c>
    </row>
    <row r="284" spans="8:25">
      <c r="H284" s="87">
        <v>234</v>
      </c>
      <c r="I284" s="86">
        <f>IFERROR(EOMONTH(DATE($C$10,$C$9,1),234-1),"")</f>
        <v>52047</v>
      </c>
      <c r="J284" s="85">
        <f t="shared" si="52"/>
        <v>92709.467169864321</v>
      </c>
      <c r="K284" s="85">
        <f t="shared" si="42"/>
        <v>155.29</v>
      </c>
      <c r="L284" s="85">
        <f t="shared" si="43"/>
        <v>1308.687651631486</v>
      </c>
      <c r="M284" s="85">
        <f t="shared" si="44"/>
        <v>0</v>
      </c>
      <c r="N284" s="85">
        <f t="shared" si="45"/>
        <v>1463.977651631486</v>
      </c>
      <c r="O284" s="85">
        <f t="shared" si="46"/>
        <v>91400.779518232841</v>
      </c>
      <c r="P284" s="85">
        <f t="shared" si="53"/>
        <v>88971.549999999945</v>
      </c>
      <c r="Q284" s="87">
        <v>234</v>
      </c>
      <c r="R284" s="86">
        <f>IFERROR(EOMONTH(DATE($F$10,$F$9,1),234-1),"")</f>
        <v>52047</v>
      </c>
      <c r="S284" s="85">
        <f t="shared" si="54"/>
        <v>104975.75304690657</v>
      </c>
      <c r="T284" s="85">
        <f t="shared" si="47"/>
        <v>306.18</v>
      </c>
      <c r="U284" s="85">
        <f t="shared" si="48"/>
        <v>1420.9713173952505</v>
      </c>
      <c r="V284" s="85">
        <f t="shared" si="49"/>
        <v>0</v>
      </c>
      <c r="W284" s="85">
        <f t="shared" si="50"/>
        <v>1727.1513173952505</v>
      </c>
      <c r="X284" s="85">
        <f t="shared" si="51"/>
        <v>103554.78172951132</v>
      </c>
      <c r="Y284" s="85">
        <f t="shared" si="55"/>
        <v>162708.18999999997</v>
      </c>
    </row>
    <row r="285" spans="8:25">
      <c r="H285" s="93">
        <v>235</v>
      </c>
      <c r="I285" s="92">
        <f>IFERROR(EOMONTH(DATE($C$10,$C$9,1),235-1),"")</f>
        <v>52078</v>
      </c>
      <c r="J285" s="91">
        <f t="shared" si="52"/>
        <v>91400.779518232841</v>
      </c>
      <c r="K285" s="91">
        <f t="shared" si="42"/>
        <v>153.1</v>
      </c>
      <c r="L285" s="91">
        <f t="shared" si="43"/>
        <v>1310.8776516314861</v>
      </c>
      <c r="M285" s="91">
        <f t="shared" si="44"/>
        <v>0</v>
      </c>
      <c r="N285" s="91">
        <f t="shared" si="45"/>
        <v>1463.977651631486</v>
      </c>
      <c r="O285" s="91">
        <f t="shared" si="46"/>
        <v>90089.901866601358</v>
      </c>
      <c r="P285" s="91">
        <f t="shared" si="53"/>
        <v>89124.649999999951</v>
      </c>
      <c r="Q285" s="90">
        <v>235</v>
      </c>
      <c r="R285" s="89">
        <f>IFERROR(EOMONTH(DATE($F$10,$F$9,1),235-1),"")</f>
        <v>52078</v>
      </c>
      <c r="S285" s="88">
        <f t="shared" si="54"/>
        <v>103554.78172951132</v>
      </c>
      <c r="T285" s="88">
        <f t="shared" si="47"/>
        <v>302.02999999999997</v>
      </c>
      <c r="U285" s="88">
        <f t="shared" si="48"/>
        <v>1425.1213173952506</v>
      </c>
      <c r="V285" s="88">
        <f t="shared" si="49"/>
        <v>0</v>
      </c>
      <c r="W285" s="88">
        <f t="shared" si="50"/>
        <v>1727.1513173952505</v>
      </c>
      <c r="X285" s="88">
        <f t="shared" si="51"/>
        <v>102129.66041211606</v>
      </c>
      <c r="Y285" s="88">
        <f t="shared" si="55"/>
        <v>163010.21999999997</v>
      </c>
    </row>
    <row r="286" spans="8:25">
      <c r="H286" s="87">
        <v>236</v>
      </c>
      <c r="I286" s="86">
        <f>IFERROR(EOMONTH(DATE($C$10,$C$9,1),236-1),"")</f>
        <v>52109</v>
      </c>
      <c r="J286" s="85">
        <f t="shared" si="52"/>
        <v>90089.901866601358</v>
      </c>
      <c r="K286" s="85">
        <f t="shared" si="42"/>
        <v>150.9</v>
      </c>
      <c r="L286" s="85">
        <f t="shared" si="43"/>
        <v>1313.0776516314859</v>
      </c>
      <c r="M286" s="85">
        <f t="shared" si="44"/>
        <v>0</v>
      </c>
      <c r="N286" s="85">
        <f t="shared" si="45"/>
        <v>1463.977651631486</v>
      </c>
      <c r="O286" s="85">
        <f t="shared" si="46"/>
        <v>88776.824214969878</v>
      </c>
      <c r="P286" s="85">
        <f t="shared" si="53"/>
        <v>89275.549999999945</v>
      </c>
      <c r="Q286" s="87">
        <v>236</v>
      </c>
      <c r="R286" s="86">
        <f>IFERROR(EOMONTH(DATE($F$10,$F$9,1),236-1),"")</f>
        <v>52109</v>
      </c>
      <c r="S286" s="85">
        <f t="shared" si="54"/>
        <v>102129.66041211606</v>
      </c>
      <c r="T286" s="85">
        <f t="shared" si="47"/>
        <v>297.88</v>
      </c>
      <c r="U286" s="85">
        <f t="shared" si="48"/>
        <v>1429.2713173952507</v>
      </c>
      <c r="V286" s="85">
        <f t="shared" si="49"/>
        <v>0</v>
      </c>
      <c r="W286" s="85">
        <f t="shared" si="50"/>
        <v>1727.1513173952508</v>
      </c>
      <c r="X286" s="85">
        <f t="shared" si="51"/>
        <v>100700.38909472081</v>
      </c>
      <c r="Y286" s="85">
        <f t="shared" si="55"/>
        <v>163308.09999999998</v>
      </c>
    </row>
    <row r="287" spans="8:25">
      <c r="H287" s="93">
        <v>237</v>
      </c>
      <c r="I287" s="92">
        <f>IFERROR(EOMONTH(DATE($C$10,$C$9,1),237-1),"")</f>
        <v>52139</v>
      </c>
      <c r="J287" s="91">
        <f t="shared" si="52"/>
        <v>88776.824214969878</v>
      </c>
      <c r="K287" s="91">
        <f t="shared" si="42"/>
        <v>148.69999999999999</v>
      </c>
      <c r="L287" s="91">
        <f t="shared" si="43"/>
        <v>1315.2776516314859</v>
      </c>
      <c r="M287" s="91">
        <f t="shared" si="44"/>
        <v>0</v>
      </c>
      <c r="N287" s="91">
        <f t="shared" si="45"/>
        <v>1463.977651631486</v>
      </c>
      <c r="O287" s="91">
        <f t="shared" si="46"/>
        <v>87461.546563338386</v>
      </c>
      <c r="P287" s="91">
        <f t="shared" si="53"/>
        <v>89424.249999999942</v>
      </c>
      <c r="Q287" s="90">
        <v>237</v>
      </c>
      <c r="R287" s="89">
        <f>IFERROR(EOMONTH(DATE($F$10,$F$9,1),237-1),"")</f>
        <v>52139</v>
      </c>
      <c r="S287" s="88">
        <f t="shared" si="54"/>
        <v>100700.38909472081</v>
      </c>
      <c r="T287" s="88">
        <f t="shared" si="47"/>
        <v>293.70999999999998</v>
      </c>
      <c r="U287" s="88">
        <f t="shared" si="48"/>
        <v>1433.4413173952505</v>
      </c>
      <c r="V287" s="88">
        <f t="shared" si="49"/>
        <v>0</v>
      </c>
      <c r="W287" s="88">
        <f t="shared" si="50"/>
        <v>1727.1513173952505</v>
      </c>
      <c r="X287" s="88">
        <f t="shared" si="51"/>
        <v>99266.947777325564</v>
      </c>
      <c r="Y287" s="88">
        <f t="shared" si="55"/>
        <v>163601.80999999997</v>
      </c>
    </row>
    <row r="288" spans="8:25">
      <c r="H288" s="87">
        <v>238</v>
      </c>
      <c r="I288" s="86">
        <f>IFERROR(EOMONTH(DATE($C$10,$C$9,1),238-1),"")</f>
        <v>52170</v>
      </c>
      <c r="J288" s="85">
        <f t="shared" si="52"/>
        <v>87461.546563338386</v>
      </c>
      <c r="K288" s="85">
        <f t="shared" si="42"/>
        <v>146.5</v>
      </c>
      <c r="L288" s="85">
        <f t="shared" si="43"/>
        <v>1317.477651631486</v>
      </c>
      <c r="M288" s="85">
        <f t="shared" si="44"/>
        <v>0</v>
      </c>
      <c r="N288" s="85">
        <f t="shared" si="45"/>
        <v>1463.977651631486</v>
      </c>
      <c r="O288" s="85">
        <f t="shared" si="46"/>
        <v>86144.068911706898</v>
      </c>
      <c r="P288" s="85">
        <f t="shared" si="53"/>
        <v>89570.749999999942</v>
      </c>
      <c r="Q288" s="87">
        <v>238</v>
      </c>
      <c r="R288" s="86">
        <f>IFERROR(EOMONTH(DATE($F$10,$F$9,1),238-1),"")</f>
        <v>52170</v>
      </c>
      <c r="S288" s="85">
        <f t="shared" si="54"/>
        <v>99266.947777325564</v>
      </c>
      <c r="T288" s="85">
        <f t="shared" si="47"/>
        <v>289.52999999999997</v>
      </c>
      <c r="U288" s="85">
        <f t="shared" si="48"/>
        <v>1437.6213173952506</v>
      </c>
      <c r="V288" s="85">
        <f t="shared" si="49"/>
        <v>0</v>
      </c>
      <c r="W288" s="85">
        <f t="shared" si="50"/>
        <v>1727.1513173952505</v>
      </c>
      <c r="X288" s="85">
        <f t="shared" si="51"/>
        <v>97829.326459930307</v>
      </c>
      <c r="Y288" s="85">
        <f t="shared" si="55"/>
        <v>163891.33999999997</v>
      </c>
    </row>
    <row r="289" spans="8:25">
      <c r="H289" s="93">
        <v>239</v>
      </c>
      <c r="I289" s="92">
        <f>IFERROR(EOMONTH(DATE($C$10,$C$9,1),239-1),"")</f>
        <v>52200</v>
      </c>
      <c r="J289" s="91">
        <f t="shared" si="52"/>
        <v>86144.068911706898</v>
      </c>
      <c r="K289" s="91">
        <f t="shared" si="42"/>
        <v>144.29</v>
      </c>
      <c r="L289" s="91">
        <f t="shared" si="43"/>
        <v>1319.687651631486</v>
      </c>
      <c r="M289" s="91">
        <f t="shared" si="44"/>
        <v>0</v>
      </c>
      <c r="N289" s="91">
        <f t="shared" si="45"/>
        <v>1463.977651631486</v>
      </c>
      <c r="O289" s="91">
        <f t="shared" si="46"/>
        <v>84824.381260075417</v>
      </c>
      <c r="P289" s="91">
        <f t="shared" si="53"/>
        <v>89715.039999999935</v>
      </c>
      <c r="Q289" s="90">
        <v>239</v>
      </c>
      <c r="R289" s="89">
        <f>IFERROR(EOMONTH(DATE($F$10,$F$9,1),239-1),"")</f>
        <v>52200</v>
      </c>
      <c r="S289" s="88">
        <f t="shared" si="54"/>
        <v>97829.326459930307</v>
      </c>
      <c r="T289" s="88">
        <f t="shared" si="47"/>
        <v>285.33999999999997</v>
      </c>
      <c r="U289" s="88">
        <f t="shared" si="48"/>
        <v>1441.8113173952506</v>
      </c>
      <c r="V289" s="88">
        <f t="shared" si="49"/>
        <v>0</v>
      </c>
      <c r="W289" s="88">
        <f t="shared" si="50"/>
        <v>1727.1513173952505</v>
      </c>
      <c r="X289" s="88">
        <f t="shared" si="51"/>
        <v>96387.515142535063</v>
      </c>
      <c r="Y289" s="88">
        <f t="shared" si="55"/>
        <v>164176.67999999996</v>
      </c>
    </row>
    <row r="290" spans="8:25">
      <c r="H290" s="87">
        <v>240</v>
      </c>
      <c r="I290" s="86">
        <f>IFERROR(EOMONTH(DATE($C$10,$C$9,1),240-1),"")</f>
        <v>52231</v>
      </c>
      <c r="J290" s="85">
        <f t="shared" si="52"/>
        <v>84824.381260075417</v>
      </c>
      <c r="K290" s="85">
        <f t="shared" si="42"/>
        <v>142.08000000000001</v>
      </c>
      <c r="L290" s="85">
        <f t="shared" si="43"/>
        <v>1321.897651631486</v>
      </c>
      <c r="M290" s="85">
        <f t="shared" si="44"/>
        <v>0</v>
      </c>
      <c r="N290" s="85">
        <f t="shared" si="45"/>
        <v>1463.977651631486</v>
      </c>
      <c r="O290" s="85">
        <f t="shared" si="46"/>
        <v>83502.48360844393</v>
      </c>
      <c r="P290" s="85">
        <f t="shared" si="53"/>
        <v>89857.119999999937</v>
      </c>
      <c r="Q290" s="87">
        <v>240</v>
      </c>
      <c r="R290" s="86">
        <f>IFERROR(EOMONTH(DATE($F$10,$F$9,1),240-1),"")</f>
        <v>52231</v>
      </c>
      <c r="S290" s="85">
        <f t="shared" si="54"/>
        <v>96387.515142535063</v>
      </c>
      <c r="T290" s="85">
        <f t="shared" si="47"/>
        <v>281.13</v>
      </c>
      <c r="U290" s="85">
        <f t="shared" si="48"/>
        <v>1446.0213173952507</v>
      </c>
      <c r="V290" s="85">
        <f t="shared" si="49"/>
        <v>0</v>
      </c>
      <c r="W290" s="85">
        <f t="shared" si="50"/>
        <v>1727.1513173952508</v>
      </c>
      <c r="X290" s="85">
        <f t="shared" si="51"/>
        <v>94941.493825139813</v>
      </c>
      <c r="Y290" s="85">
        <f t="shared" si="55"/>
        <v>164457.80999999997</v>
      </c>
    </row>
    <row r="291" spans="8:25">
      <c r="H291" s="93">
        <v>241</v>
      </c>
      <c r="I291" s="92">
        <f>IFERROR(EOMONTH(DATE($C$10,$C$9,1),241-1),"")</f>
        <v>52262</v>
      </c>
      <c r="J291" s="91">
        <f t="shared" si="52"/>
        <v>83502.48360844393</v>
      </c>
      <c r="K291" s="91">
        <f t="shared" si="42"/>
        <v>139.87</v>
      </c>
      <c r="L291" s="91">
        <f t="shared" si="43"/>
        <v>1324.1076516314861</v>
      </c>
      <c r="M291" s="91">
        <f t="shared" si="44"/>
        <v>0</v>
      </c>
      <c r="N291" s="91">
        <f t="shared" si="45"/>
        <v>1463.977651631486</v>
      </c>
      <c r="O291" s="91">
        <f t="shared" si="46"/>
        <v>82178.375956812437</v>
      </c>
      <c r="P291" s="91">
        <f t="shared" si="53"/>
        <v>89996.989999999932</v>
      </c>
      <c r="Q291" s="90">
        <v>241</v>
      </c>
      <c r="R291" s="89">
        <f>IFERROR(EOMONTH(DATE($F$10,$F$9,1),241-1),"")</f>
        <v>52262</v>
      </c>
      <c r="S291" s="88">
        <f t="shared" si="54"/>
        <v>94941.493825139813</v>
      </c>
      <c r="T291" s="88">
        <f t="shared" si="47"/>
        <v>276.91000000000003</v>
      </c>
      <c r="U291" s="88">
        <f t="shared" si="48"/>
        <v>1450.2413173952505</v>
      </c>
      <c r="V291" s="88">
        <f t="shared" si="49"/>
        <v>0</v>
      </c>
      <c r="W291" s="88">
        <f t="shared" si="50"/>
        <v>1727.1513173952505</v>
      </c>
      <c r="X291" s="88">
        <f t="shared" si="51"/>
        <v>93491.252507744561</v>
      </c>
      <c r="Y291" s="88">
        <f t="shared" si="55"/>
        <v>164734.71999999997</v>
      </c>
    </row>
    <row r="292" spans="8:25">
      <c r="H292" s="87">
        <v>242</v>
      </c>
      <c r="I292" s="86">
        <f>IFERROR(EOMONTH(DATE($C$10,$C$9,1),242-1),"")</f>
        <v>52290</v>
      </c>
      <c r="J292" s="85">
        <f t="shared" si="52"/>
        <v>82178.375956812437</v>
      </c>
      <c r="K292" s="85">
        <f t="shared" si="42"/>
        <v>137.65</v>
      </c>
      <c r="L292" s="85">
        <f t="shared" si="43"/>
        <v>1326.3276516314859</v>
      </c>
      <c r="M292" s="85">
        <f t="shared" si="44"/>
        <v>0</v>
      </c>
      <c r="N292" s="85">
        <f t="shared" si="45"/>
        <v>1463.977651631486</v>
      </c>
      <c r="O292" s="85">
        <f t="shared" si="46"/>
        <v>80852.048305180957</v>
      </c>
      <c r="P292" s="85">
        <f t="shared" si="53"/>
        <v>90134.639999999927</v>
      </c>
      <c r="Q292" s="87">
        <v>242</v>
      </c>
      <c r="R292" s="86">
        <f>IFERROR(EOMONTH(DATE($F$10,$F$9,1),242-1),"")</f>
        <v>52290</v>
      </c>
      <c r="S292" s="85">
        <f t="shared" si="54"/>
        <v>93491.252507744561</v>
      </c>
      <c r="T292" s="85">
        <f t="shared" si="47"/>
        <v>272.68</v>
      </c>
      <c r="U292" s="85">
        <f t="shared" si="48"/>
        <v>1454.4713173952505</v>
      </c>
      <c r="V292" s="85">
        <f t="shared" si="49"/>
        <v>0</v>
      </c>
      <c r="W292" s="85">
        <f t="shared" si="50"/>
        <v>1727.1513173952505</v>
      </c>
      <c r="X292" s="85">
        <f t="shared" si="51"/>
        <v>92036.781190349313</v>
      </c>
      <c r="Y292" s="85">
        <f t="shared" si="55"/>
        <v>165007.39999999997</v>
      </c>
    </row>
    <row r="293" spans="8:25">
      <c r="H293" s="93">
        <v>243</v>
      </c>
      <c r="I293" s="92">
        <f>IFERROR(EOMONTH(DATE($C$10,$C$9,1),243-1),"")</f>
        <v>52321</v>
      </c>
      <c r="J293" s="91">
        <f t="shared" si="52"/>
        <v>80852.048305180957</v>
      </c>
      <c r="K293" s="91">
        <f t="shared" si="42"/>
        <v>135.43</v>
      </c>
      <c r="L293" s="91">
        <f t="shared" si="43"/>
        <v>1328.5476516314859</v>
      </c>
      <c r="M293" s="91">
        <f t="shared" si="44"/>
        <v>0</v>
      </c>
      <c r="N293" s="91">
        <f t="shared" si="45"/>
        <v>1463.977651631486</v>
      </c>
      <c r="O293" s="91">
        <f t="shared" si="46"/>
        <v>79523.500653549476</v>
      </c>
      <c r="P293" s="91">
        <f t="shared" si="53"/>
        <v>90270.06999999992</v>
      </c>
      <c r="Q293" s="90">
        <v>243</v>
      </c>
      <c r="R293" s="89">
        <f>IFERROR(EOMONTH(DATE($F$10,$F$9,1),243-1),"")</f>
        <v>52321</v>
      </c>
      <c r="S293" s="88">
        <f t="shared" si="54"/>
        <v>92036.781190349313</v>
      </c>
      <c r="T293" s="88">
        <f t="shared" si="47"/>
        <v>268.44</v>
      </c>
      <c r="U293" s="88">
        <f t="shared" si="48"/>
        <v>1458.7113173952505</v>
      </c>
      <c r="V293" s="88">
        <f t="shared" si="49"/>
        <v>0</v>
      </c>
      <c r="W293" s="88">
        <f t="shared" si="50"/>
        <v>1727.1513173952505</v>
      </c>
      <c r="X293" s="88">
        <f t="shared" si="51"/>
        <v>90578.06987295406</v>
      </c>
      <c r="Y293" s="88">
        <f t="shared" si="55"/>
        <v>165275.83999999997</v>
      </c>
    </row>
    <row r="294" spans="8:25">
      <c r="H294" s="87">
        <v>244</v>
      </c>
      <c r="I294" s="86">
        <f>IFERROR(EOMONTH(DATE($C$10,$C$9,1),244-1),"")</f>
        <v>52351</v>
      </c>
      <c r="J294" s="85">
        <f t="shared" si="52"/>
        <v>79523.500653549476</v>
      </c>
      <c r="K294" s="85">
        <f t="shared" si="42"/>
        <v>133.19999999999999</v>
      </c>
      <c r="L294" s="85">
        <f t="shared" si="43"/>
        <v>1330.7776516314859</v>
      </c>
      <c r="M294" s="85">
        <f t="shared" si="44"/>
        <v>0</v>
      </c>
      <c r="N294" s="85">
        <f t="shared" si="45"/>
        <v>1463.977651631486</v>
      </c>
      <c r="O294" s="85">
        <f t="shared" si="46"/>
        <v>78192.723001917984</v>
      </c>
      <c r="P294" s="85">
        <f t="shared" si="53"/>
        <v>90403.269999999917</v>
      </c>
      <c r="Q294" s="87">
        <v>244</v>
      </c>
      <c r="R294" s="86">
        <f>IFERROR(EOMONTH(DATE($F$10,$F$9,1),244-1),"")</f>
        <v>52351</v>
      </c>
      <c r="S294" s="85">
        <f t="shared" si="54"/>
        <v>90578.06987295406</v>
      </c>
      <c r="T294" s="85">
        <f t="shared" si="47"/>
        <v>264.19</v>
      </c>
      <c r="U294" s="85">
        <f t="shared" si="48"/>
        <v>1462.9613173952505</v>
      </c>
      <c r="V294" s="85">
        <f t="shared" si="49"/>
        <v>0</v>
      </c>
      <c r="W294" s="85">
        <f t="shared" si="50"/>
        <v>1727.1513173952505</v>
      </c>
      <c r="X294" s="85">
        <f t="shared" si="51"/>
        <v>89115.108555558807</v>
      </c>
      <c r="Y294" s="85">
        <f t="shared" si="55"/>
        <v>165540.02999999997</v>
      </c>
    </row>
    <row r="295" spans="8:25">
      <c r="H295" s="93">
        <v>245</v>
      </c>
      <c r="I295" s="92">
        <f>IFERROR(EOMONTH(DATE($C$10,$C$9,1),245-1),"")</f>
        <v>52382</v>
      </c>
      <c r="J295" s="91">
        <f t="shared" si="52"/>
        <v>78192.723001917984</v>
      </c>
      <c r="K295" s="91">
        <f t="shared" si="42"/>
        <v>130.97</v>
      </c>
      <c r="L295" s="91">
        <f t="shared" si="43"/>
        <v>1333.0076516314859</v>
      </c>
      <c r="M295" s="91">
        <f t="shared" si="44"/>
        <v>0</v>
      </c>
      <c r="N295" s="91">
        <f t="shared" si="45"/>
        <v>1463.977651631486</v>
      </c>
      <c r="O295" s="91">
        <f t="shared" si="46"/>
        <v>76859.715350286497</v>
      </c>
      <c r="P295" s="91">
        <f t="shared" si="53"/>
        <v>90534.239999999918</v>
      </c>
      <c r="Q295" s="90">
        <v>245</v>
      </c>
      <c r="R295" s="89">
        <f>IFERROR(EOMONTH(DATE($F$10,$F$9,1),245-1),"")</f>
        <v>52382</v>
      </c>
      <c r="S295" s="88">
        <f t="shared" si="54"/>
        <v>89115.108555558807</v>
      </c>
      <c r="T295" s="88">
        <f t="shared" si="47"/>
        <v>259.92</v>
      </c>
      <c r="U295" s="88">
        <f t="shared" si="48"/>
        <v>1467.2313173952505</v>
      </c>
      <c r="V295" s="88">
        <f t="shared" si="49"/>
        <v>0</v>
      </c>
      <c r="W295" s="88">
        <f t="shared" si="50"/>
        <v>1727.1513173952505</v>
      </c>
      <c r="X295" s="88">
        <f t="shared" si="51"/>
        <v>87647.87723816355</v>
      </c>
      <c r="Y295" s="88">
        <f t="shared" si="55"/>
        <v>165799.94999999998</v>
      </c>
    </row>
    <row r="296" spans="8:25">
      <c r="H296" s="87">
        <v>246</v>
      </c>
      <c r="I296" s="86">
        <f>IFERROR(EOMONTH(DATE($C$10,$C$9,1),246-1),"")</f>
        <v>52412</v>
      </c>
      <c r="J296" s="85">
        <f t="shared" si="52"/>
        <v>76859.715350286497</v>
      </c>
      <c r="K296" s="85">
        <f t="shared" si="42"/>
        <v>128.74</v>
      </c>
      <c r="L296" s="85">
        <f t="shared" si="43"/>
        <v>1335.237651631486</v>
      </c>
      <c r="M296" s="85">
        <f t="shared" si="44"/>
        <v>0</v>
      </c>
      <c r="N296" s="85">
        <f t="shared" si="45"/>
        <v>1463.977651631486</v>
      </c>
      <c r="O296" s="85">
        <f t="shared" si="46"/>
        <v>75524.477698655013</v>
      </c>
      <c r="P296" s="85">
        <f t="shared" si="53"/>
        <v>90662.979999999923</v>
      </c>
      <c r="Q296" s="87">
        <v>246</v>
      </c>
      <c r="R296" s="86">
        <f>IFERROR(EOMONTH(DATE($F$10,$F$9,1),246-1),"")</f>
        <v>52412</v>
      </c>
      <c r="S296" s="85">
        <f t="shared" si="54"/>
        <v>87647.87723816355</v>
      </c>
      <c r="T296" s="85">
        <f t="shared" si="47"/>
        <v>255.64</v>
      </c>
      <c r="U296" s="85">
        <f t="shared" si="48"/>
        <v>1471.5113173952504</v>
      </c>
      <c r="V296" s="85">
        <f t="shared" si="49"/>
        <v>0</v>
      </c>
      <c r="W296" s="85">
        <f t="shared" si="50"/>
        <v>1727.1513173952503</v>
      </c>
      <c r="X296" s="85">
        <f t="shared" si="51"/>
        <v>86176.365920768294</v>
      </c>
      <c r="Y296" s="85">
        <f t="shared" si="55"/>
        <v>166055.59</v>
      </c>
    </row>
    <row r="297" spans="8:25">
      <c r="H297" s="93">
        <v>247</v>
      </c>
      <c r="I297" s="92">
        <f>IFERROR(EOMONTH(DATE($C$10,$C$9,1),247-1),"")</f>
        <v>52443</v>
      </c>
      <c r="J297" s="91">
        <f t="shared" si="52"/>
        <v>75524.477698655013</v>
      </c>
      <c r="K297" s="91">
        <f t="shared" si="42"/>
        <v>126.5</v>
      </c>
      <c r="L297" s="91">
        <f t="shared" si="43"/>
        <v>1337.477651631486</v>
      </c>
      <c r="M297" s="91">
        <f t="shared" si="44"/>
        <v>0</v>
      </c>
      <c r="N297" s="91">
        <f t="shared" si="45"/>
        <v>1463.977651631486</v>
      </c>
      <c r="O297" s="91">
        <f t="shared" si="46"/>
        <v>74187.000047023525</v>
      </c>
      <c r="P297" s="91">
        <f t="shared" si="53"/>
        <v>90789.479999999923</v>
      </c>
      <c r="Q297" s="90">
        <v>247</v>
      </c>
      <c r="R297" s="89">
        <f>IFERROR(EOMONTH(DATE($F$10,$F$9,1),247-1),"")</f>
        <v>52443</v>
      </c>
      <c r="S297" s="88">
        <f t="shared" si="54"/>
        <v>86176.365920768294</v>
      </c>
      <c r="T297" s="88">
        <f t="shared" si="47"/>
        <v>251.35</v>
      </c>
      <c r="U297" s="88">
        <f t="shared" si="48"/>
        <v>1475.8013173952506</v>
      </c>
      <c r="V297" s="88">
        <f t="shared" si="49"/>
        <v>0</v>
      </c>
      <c r="W297" s="88">
        <f t="shared" si="50"/>
        <v>1727.1513173952505</v>
      </c>
      <c r="X297" s="88">
        <f t="shared" si="51"/>
        <v>84700.564603373045</v>
      </c>
      <c r="Y297" s="88">
        <f t="shared" si="55"/>
        <v>166306.94</v>
      </c>
    </row>
    <row r="298" spans="8:25">
      <c r="H298" s="87">
        <v>248</v>
      </c>
      <c r="I298" s="86">
        <f>IFERROR(EOMONTH(DATE($C$10,$C$9,1),248-1),"")</f>
        <v>52474</v>
      </c>
      <c r="J298" s="85">
        <f t="shared" si="52"/>
        <v>74187.000047023525</v>
      </c>
      <c r="K298" s="85">
        <f t="shared" si="42"/>
        <v>124.26</v>
      </c>
      <c r="L298" s="85">
        <f t="shared" si="43"/>
        <v>1339.717651631486</v>
      </c>
      <c r="M298" s="85">
        <f t="shared" si="44"/>
        <v>0</v>
      </c>
      <c r="N298" s="85">
        <f t="shared" si="45"/>
        <v>1463.977651631486</v>
      </c>
      <c r="O298" s="85">
        <f t="shared" si="46"/>
        <v>72847.282395392045</v>
      </c>
      <c r="P298" s="85">
        <f t="shared" si="53"/>
        <v>90913.739999999918</v>
      </c>
      <c r="Q298" s="87">
        <v>248</v>
      </c>
      <c r="R298" s="86">
        <f>IFERROR(EOMONTH(DATE($F$10,$F$9,1),248-1),"")</f>
        <v>52474</v>
      </c>
      <c r="S298" s="85">
        <f t="shared" si="54"/>
        <v>84700.564603373045</v>
      </c>
      <c r="T298" s="85">
        <f t="shared" si="47"/>
        <v>247.04</v>
      </c>
      <c r="U298" s="85">
        <f t="shared" si="48"/>
        <v>1480.1113173952506</v>
      </c>
      <c r="V298" s="85">
        <f t="shared" si="49"/>
        <v>0</v>
      </c>
      <c r="W298" s="85">
        <f t="shared" si="50"/>
        <v>1727.1513173952505</v>
      </c>
      <c r="X298" s="85">
        <f t="shared" si="51"/>
        <v>83220.453285977797</v>
      </c>
      <c r="Y298" s="85">
        <f t="shared" si="55"/>
        <v>166553.98000000001</v>
      </c>
    </row>
    <row r="299" spans="8:25">
      <c r="H299" s="93">
        <v>249</v>
      </c>
      <c r="I299" s="92">
        <f>IFERROR(EOMONTH(DATE($C$10,$C$9,1),249-1),"")</f>
        <v>52504</v>
      </c>
      <c r="J299" s="91">
        <f t="shared" si="52"/>
        <v>72847.282395392045</v>
      </c>
      <c r="K299" s="91">
        <f t="shared" si="42"/>
        <v>122.02</v>
      </c>
      <c r="L299" s="91">
        <f t="shared" si="43"/>
        <v>1341.957651631486</v>
      </c>
      <c r="M299" s="91">
        <f t="shared" si="44"/>
        <v>0</v>
      </c>
      <c r="N299" s="91">
        <f t="shared" si="45"/>
        <v>1463.977651631486</v>
      </c>
      <c r="O299" s="91">
        <f t="shared" si="46"/>
        <v>71505.324743760561</v>
      </c>
      <c r="P299" s="91">
        <f t="shared" si="53"/>
        <v>91035.759999999922</v>
      </c>
      <c r="Q299" s="90">
        <v>249</v>
      </c>
      <c r="R299" s="89">
        <f>IFERROR(EOMONTH(DATE($F$10,$F$9,1),249-1),"")</f>
        <v>52504</v>
      </c>
      <c r="S299" s="88">
        <f t="shared" si="54"/>
        <v>83220.453285977797</v>
      </c>
      <c r="T299" s="88">
        <f t="shared" si="47"/>
        <v>242.73</v>
      </c>
      <c r="U299" s="88">
        <f t="shared" si="48"/>
        <v>1484.4213173952505</v>
      </c>
      <c r="V299" s="88">
        <f t="shared" si="49"/>
        <v>0</v>
      </c>
      <c r="W299" s="88">
        <f t="shared" si="50"/>
        <v>1727.1513173952505</v>
      </c>
      <c r="X299" s="88">
        <f t="shared" si="51"/>
        <v>81736.031968582553</v>
      </c>
      <c r="Y299" s="88">
        <f t="shared" si="55"/>
        <v>166796.71000000002</v>
      </c>
    </row>
    <row r="300" spans="8:25">
      <c r="H300" s="87">
        <v>250</v>
      </c>
      <c r="I300" s="86">
        <f>IFERROR(EOMONTH(DATE($C$10,$C$9,1),250-1),"")</f>
        <v>52535</v>
      </c>
      <c r="J300" s="85">
        <f t="shared" si="52"/>
        <v>71505.324743760561</v>
      </c>
      <c r="K300" s="85">
        <f t="shared" si="42"/>
        <v>119.77</v>
      </c>
      <c r="L300" s="85">
        <f t="shared" si="43"/>
        <v>1344.207651631486</v>
      </c>
      <c r="M300" s="85">
        <f t="shared" si="44"/>
        <v>0</v>
      </c>
      <c r="N300" s="85">
        <f t="shared" si="45"/>
        <v>1463.977651631486</v>
      </c>
      <c r="O300" s="85">
        <f t="shared" si="46"/>
        <v>70161.117092129076</v>
      </c>
      <c r="P300" s="85">
        <f t="shared" si="53"/>
        <v>91155.529999999926</v>
      </c>
      <c r="Q300" s="87">
        <v>250</v>
      </c>
      <c r="R300" s="86">
        <f>IFERROR(EOMONTH(DATE($F$10,$F$9,1),250-1),"")</f>
        <v>52535</v>
      </c>
      <c r="S300" s="85">
        <f t="shared" si="54"/>
        <v>81736.031968582553</v>
      </c>
      <c r="T300" s="85">
        <f t="shared" si="47"/>
        <v>238.4</v>
      </c>
      <c r="U300" s="85">
        <f t="shared" si="48"/>
        <v>1488.7513173952505</v>
      </c>
      <c r="V300" s="85">
        <f t="shared" si="49"/>
        <v>0</v>
      </c>
      <c r="W300" s="85">
        <f t="shared" si="50"/>
        <v>1727.1513173952505</v>
      </c>
      <c r="X300" s="85">
        <f t="shared" si="51"/>
        <v>80247.280651187306</v>
      </c>
      <c r="Y300" s="85">
        <f t="shared" si="55"/>
        <v>167035.11000000002</v>
      </c>
    </row>
    <row r="301" spans="8:25">
      <c r="H301" s="93">
        <v>251</v>
      </c>
      <c r="I301" s="92">
        <f>IFERROR(EOMONTH(DATE($C$10,$C$9,1),251-1),"")</f>
        <v>52565</v>
      </c>
      <c r="J301" s="91">
        <f t="shared" si="52"/>
        <v>70161.117092129076</v>
      </c>
      <c r="K301" s="91">
        <f t="shared" si="42"/>
        <v>117.52</v>
      </c>
      <c r="L301" s="91">
        <f t="shared" si="43"/>
        <v>1346.457651631486</v>
      </c>
      <c r="M301" s="91">
        <f t="shared" si="44"/>
        <v>0</v>
      </c>
      <c r="N301" s="91">
        <f t="shared" si="45"/>
        <v>1463.977651631486</v>
      </c>
      <c r="O301" s="91">
        <f t="shared" si="46"/>
        <v>68814.659440497591</v>
      </c>
      <c r="P301" s="91">
        <f t="shared" si="53"/>
        <v>91273.04999999993</v>
      </c>
      <c r="Q301" s="90">
        <v>251</v>
      </c>
      <c r="R301" s="89">
        <f>IFERROR(EOMONTH(DATE($F$10,$F$9,1),251-1),"")</f>
        <v>52565</v>
      </c>
      <c r="S301" s="88">
        <f t="shared" si="54"/>
        <v>80247.280651187306</v>
      </c>
      <c r="T301" s="88">
        <f t="shared" si="47"/>
        <v>234.05</v>
      </c>
      <c r="U301" s="88">
        <f t="shared" si="48"/>
        <v>1493.1013173952506</v>
      </c>
      <c r="V301" s="88">
        <f t="shared" si="49"/>
        <v>0</v>
      </c>
      <c r="W301" s="88">
        <f t="shared" si="50"/>
        <v>1727.1513173952505</v>
      </c>
      <c r="X301" s="88">
        <f t="shared" si="51"/>
        <v>78754.179333792054</v>
      </c>
      <c r="Y301" s="88">
        <f t="shared" si="55"/>
        <v>167269.16</v>
      </c>
    </row>
    <row r="302" spans="8:25">
      <c r="H302" s="87">
        <v>252</v>
      </c>
      <c r="I302" s="86">
        <f>IFERROR(EOMONTH(DATE($C$10,$C$9,1),252-1),"")</f>
        <v>52596</v>
      </c>
      <c r="J302" s="85">
        <f t="shared" si="52"/>
        <v>68814.659440497591</v>
      </c>
      <c r="K302" s="85">
        <f t="shared" si="42"/>
        <v>115.26</v>
      </c>
      <c r="L302" s="85">
        <f t="shared" si="43"/>
        <v>1348.717651631486</v>
      </c>
      <c r="M302" s="85">
        <f t="shared" si="44"/>
        <v>0</v>
      </c>
      <c r="N302" s="85">
        <f t="shared" si="45"/>
        <v>1463.977651631486</v>
      </c>
      <c r="O302" s="85">
        <f t="shared" si="46"/>
        <v>67465.941788866112</v>
      </c>
      <c r="P302" s="85">
        <f t="shared" si="53"/>
        <v>91388.309999999925</v>
      </c>
      <c r="Q302" s="87">
        <v>252</v>
      </c>
      <c r="R302" s="86">
        <f>IFERROR(EOMONTH(DATE($F$10,$F$9,1),252-1),"")</f>
        <v>52596</v>
      </c>
      <c r="S302" s="85">
        <f t="shared" si="54"/>
        <v>78754.179333792054</v>
      </c>
      <c r="T302" s="85">
        <f t="shared" si="47"/>
        <v>229.7</v>
      </c>
      <c r="U302" s="85">
        <f t="shared" si="48"/>
        <v>1497.4513173952505</v>
      </c>
      <c r="V302" s="85">
        <f t="shared" si="49"/>
        <v>0</v>
      </c>
      <c r="W302" s="85">
        <f t="shared" si="50"/>
        <v>1727.1513173952505</v>
      </c>
      <c r="X302" s="85">
        <f t="shared" si="51"/>
        <v>77256.72801639681</v>
      </c>
      <c r="Y302" s="85">
        <f t="shared" si="55"/>
        <v>167498.86000000002</v>
      </c>
    </row>
    <row r="303" spans="8:25">
      <c r="H303" s="93">
        <v>253</v>
      </c>
      <c r="I303" s="92">
        <f>IFERROR(EOMONTH(DATE($C$10,$C$9,1),253-1),"")</f>
        <v>52627</v>
      </c>
      <c r="J303" s="91">
        <f t="shared" si="52"/>
        <v>67465.941788866112</v>
      </c>
      <c r="K303" s="91">
        <f t="shared" si="42"/>
        <v>113.01</v>
      </c>
      <c r="L303" s="91">
        <f t="shared" si="43"/>
        <v>1350.967651631486</v>
      </c>
      <c r="M303" s="91">
        <f t="shared" si="44"/>
        <v>0</v>
      </c>
      <c r="N303" s="91">
        <f t="shared" si="45"/>
        <v>1463.977651631486</v>
      </c>
      <c r="O303" s="91">
        <f t="shared" si="46"/>
        <v>66114.974137234633</v>
      </c>
      <c r="P303" s="91">
        <f t="shared" si="53"/>
        <v>91501.31999999992</v>
      </c>
      <c r="Q303" s="90">
        <v>253</v>
      </c>
      <c r="R303" s="89">
        <f>IFERROR(EOMONTH(DATE($F$10,$F$9,1),253-1),"")</f>
        <v>52627</v>
      </c>
      <c r="S303" s="88">
        <f t="shared" si="54"/>
        <v>77256.72801639681</v>
      </c>
      <c r="T303" s="88">
        <f t="shared" si="47"/>
        <v>225.33</v>
      </c>
      <c r="U303" s="88">
        <f t="shared" si="48"/>
        <v>1501.8213173952506</v>
      </c>
      <c r="V303" s="88">
        <f t="shared" si="49"/>
        <v>0</v>
      </c>
      <c r="W303" s="88">
        <f t="shared" si="50"/>
        <v>1727.1513173952505</v>
      </c>
      <c r="X303" s="88">
        <f t="shared" si="51"/>
        <v>75754.906699001556</v>
      </c>
      <c r="Y303" s="88">
        <f t="shared" si="55"/>
        <v>167724.19</v>
      </c>
    </row>
    <row r="304" spans="8:25">
      <c r="H304" s="87">
        <v>254</v>
      </c>
      <c r="I304" s="86">
        <f>IFERROR(EOMONTH(DATE($C$10,$C$9,1),254-1),"")</f>
        <v>52656</v>
      </c>
      <c r="J304" s="85">
        <f t="shared" si="52"/>
        <v>66114.974137234633</v>
      </c>
      <c r="K304" s="85">
        <f t="shared" si="42"/>
        <v>110.74</v>
      </c>
      <c r="L304" s="85">
        <f t="shared" si="43"/>
        <v>1353.237651631486</v>
      </c>
      <c r="M304" s="85">
        <f t="shared" si="44"/>
        <v>0</v>
      </c>
      <c r="N304" s="85">
        <f t="shared" si="45"/>
        <v>1463.977651631486</v>
      </c>
      <c r="O304" s="85">
        <f t="shared" si="46"/>
        <v>64761.736485603149</v>
      </c>
      <c r="P304" s="85">
        <f t="shared" si="53"/>
        <v>91612.059999999925</v>
      </c>
      <c r="Q304" s="87">
        <v>254</v>
      </c>
      <c r="R304" s="86">
        <f>IFERROR(EOMONTH(DATE($F$10,$F$9,1),254-1),"")</f>
        <v>52656</v>
      </c>
      <c r="S304" s="85">
        <f t="shared" si="54"/>
        <v>75754.906699001556</v>
      </c>
      <c r="T304" s="85">
        <f t="shared" si="47"/>
        <v>220.95</v>
      </c>
      <c r="U304" s="85">
        <f t="shared" si="48"/>
        <v>1506.2013173952505</v>
      </c>
      <c r="V304" s="85">
        <f t="shared" si="49"/>
        <v>0</v>
      </c>
      <c r="W304" s="85">
        <f t="shared" si="50"/>
        <v>1727.1513173952505</v>
      </c>
      <c r="X304" s="85">
        <f t="shared" si="51"/>
        <v>74248.705381606313</v>
      </c>
      <c r="Y304" s="85">
        <f t="shared" si="55"/>
        <v>167945.14</v>
      </c>
    </row>
    <row r="305" spans="8:25">
      <c r="H305" s="93">
        <v>255</v>
      </c>
      <c r="I305" s="92">
        <f>IFERROR(EOMONTH(DATE($C$10,$C$9,1),255-1),"")</f>
        <v>52687</v>
      </c>
      <c r="J305" s="91">
        <f t="shared" si="52"/>
        <v>64761.736485603149</v>
      </c>
      <c r="K305" s="91">
        <f t="shared" si="42"/>
        <v>108.48</v>
      </c>
      <c r="L305" s="91">
        <f t="shared" si="43"/>
        <v>1355.497651631486</v>
      </c>
      <c r="M305" s="91">
        <f t="shared" si="44"/>
        <v>0</v>
      </c>
      <c r="N305" s="91">
        <f t="shared" si="45"/>
        <v>1463.977651631486</v>
      </c>
      <c r="O305" s="91">
        <f t="shared" si="46"/>
        <v>63406.238833971664</v>
      </c>
      <c r="P305" s="91">
        <f t="shared" si="53"/>
        <v>91720.539999999921</v>
      </c>
      <c r="Q305" s="90">
        <v>255</v>
      </c>
      <c r="R305" s="89">
        <f>IFERROR(EOMONTH(DATE($F$10,$F$9,1),255-1),"")</f>
        <v>52687</v>
      </c>
      <c r="S305" s="88">
        <f t="shared" si="54"/>
        <v>74248.705381606313</v>
      </c>
      <c r="T305" s="88">
        <f t="shared" si="47"/>
        <v>216.56</v>
      </c>
      <c r="U305" s="88">
        <f t="shared" si="48"/>
        <v>1510.5913173952506</v>
      </c>
      <c r="V305" s="88">
        <f t="shared" si="49"/>
        <v>0</v>
      </c>
      <c r="W305" s="88">
        <f t="shared" si="50"/>
        <v>1727.1513173952505</v>
      </c>
      <c r="X305" s="88">
        <f t="shared" si="51"/>
        <v>72738.114064211055</v>
      </c>
      <c r="Y305" s="88">
        <f t="shared" si="55"/>
        <v>168161.7</v>
      </c>
    </row>
    <row r="306" spans="8:25">
      <c r="H306" s="87">
        <v>256</v>
      </c>
      <c r="I306" s="86">
        <f>IFERROR(EOMONTH(DATE($C$10,$C$9,1),256-1),"")</f>
        <v>52717</v>
      </c>
      <c r="J306" s="85">
        <f t="shared" si="52"/>
        <v>63406.238833971664</v>
      </c>
      <c r="K306" s="85">
        <f t="shared" si="42"/>
        <v>106.21</v>
      </c>
      <c r="L306" s="85">
        <f t="shared" si="43"/>
        <v>1357.7676516314859</v>
      </c>
      <c r="M306" s="85">
        <f t="shared" si="44"/>
        <v>0</v>
      </c>
      <c r="N306" s="85">
        <f t="shared" si="45"/>
        <v>1463.977651631486</v>
      </c>
      <c r="O306" s="85">
        <f t="shared" si="46"/>
        <v>62048.471182340174</v>
      </c>
      <c r="P306" s="85">
        <f t="shared" si="53"/>
        <v>91826.749999999927</v>
      </c>
      <c r="Q306" s="87">
        <v>256</v>
      </c>
      <c r="R306" s="86">
        <f>IFERROR(EOMONTH(DATE($F$10,$F$9,1),256-1),"")</f>
        <v>52717</v>
      </c>
      <c r="S306" s="85">
        <f t="shared" si="54"/>
        <v>72738.114064211055</v>
      </c>
      <c r="T306" s="85">
        <f t="shared" si="47"/>
        <v>212.15</v>
      </c>
      <c r="U306" s="85">
        <f t="shared" si="48"/>
        <v>1515.0013173952505</v>
      </c>
      <c r="V306" s="85">
        <f t="shared" si="49"/>
        <v>0</v>
      </c>
      <c r="W306" s="85">
        <f t="shared" si="50"/>
        <v>1727.1513173952505</v>
      </c>
      <c r="X306" s="85">
        <f t="shared" si="51"/>
        <v>71223.112746815808</v>
      </c>
      <c r="Y306" s="85">
        <f t="shared" si="55"/>
        <v>168373.85</v>
      </c>
    </row>
    <row r="307" spans="8:25">
      <c r="H307" s="93">
        <v>257</v>
      </c>
      <c r="I307" s="92">
        <f>IFERROR(EOMONTH(DATE($C$10,$C$9,1),257-1),"")</f>
        <v>52748</v>
      </c>
      <c r="J307" s="91">
        <f t="shared" si="52"/>
        <v>62048.471182340174</v>
      </c>
      <c r="K307" s="91">
        <f t="shared" ref="K307:K370" si="56">IF(J307&lt;=0,0,ROUND(J307*$C$7/12,2))</f>
        <v>103.93</v>
      </c>
      <c r="L307" s="91">
        <f t="shared" ref="L307:L370" si="57">IF(J307&lt;=0,0,IF(UPPER(TRIM($C$11))="INTEREST ONLY",0,MAX(0,MIN(J307,$C$17-K307))))</f>
        <v>1360.0476516314859</v>
      </c>
      <c r="M307" s="91">
        <f t="shared" ref="M307:M370" si="58">IF(J307&lt;=0,0,MIN(J307-L307,$C$12+IF(H307=$C$14,$C$13,0)))</f>
        <v>0</v>
      </c>
      <c r="N307" s="91">
        <f t="shared" ref="N307:N370" si="59">K307+L307+M307</f>
        <v>1463.977651631486</v>
      </c>
      <c r="O307" s="91">
        <f t="shared" ref="O307:O370" si="60">MAX(0,J307-L307-M307)</f>
        <v>60688.423530708686</v>
      </c>
      <c r="P307" s="91">
        <f t="shared" si="53"/>
        <v>91930.67999999992</v>
      </c>
      <c r="Q307" s="90">
        <v>257</v>
      </c>
      <c r="R307" s="89">
        <f>IFERROR(EOMONTH(DATE($F$10,$F$9,1),257-1),"")</f>
        <v>52748</v>
      </c>
      <c r="S307" s="88">
        <f t="shared" si="54"/>
        <v>71223.112746815808</v>
      </c>
      <c r="T307" s="88">
        <f t="shared" ref="T307:T370" si="61">IF(S307&lt;=0,0,ROUND(S307*$F$7/12,2))</f>
        <v>207.73</v>
      </c>
      <c r="U307" s="88">
        <f t="shared" ref="U307:U370" si="62">IF(S307&lt;=0,0,IF(UPPER(TRIM($F$11))="INTEREST ONLY",0,MAX(0,MIN(S307,$F$17-T307))))</f>
        <v>1519.4213173952505</v>
      </c>
      <c r="V307" s="88">
        <f t="shared" ref="V307:V370" si="63">IF(S307&lt;=0,0,MIN(S307-U307,$F$12+IF(Q307=$F$14,$F$13,0)))</f>
        <v>0</v>
      </c>
      <c r="W307" s="88">
        <f t="shared" ref="W307:W370" si="64">T307+U307+V307</f>
        <v>1727.1513173952505</v>
      </c>
      <c r="X307" s="88">
        <f t="shared" ref="X307:X370" si="65">MAX(0,S307-U307-V307)</f>
        <v>69703.691429420564</v>
      </c>
      <c r="Y307" s="88">
        <f t="shared" si="55"/>
        <v>168581.58000000002</v>
      </c>
    </row>
    <row r="308" spans="8:25">
      <c r="H308" s="87">
        <v>258</v>
      </c>
      <c r="I308" s="86">
        <f>IFERROR(EOMONTH(DATE($C$10,$C$9,1),258-1),"")</f>
        <v>52778</v>
      </c>
      <c r="J308" s="85">
        <f t="shared" ref="J308:J371" si="66">IF(O307&lt;=0,0,O307)</f>
        <v>60688.423530708686</v>
      </c>
      <c r="K308" s="85">
        <f t="shared" si="56"/>
        <v>101.65</v>
      </c>
      <c r="L308" s="85">
        <f t="shared" si="57"/>
        <v>1362.3276516314859</v>
      </c>
      <c r="M308" s="85">
        <f t="shared" si="58"/>
        <v>0</v>
      </c>
      <c r="N308" s="85">
        <f t="shared" si="59"/>
        <v>1463.977651631486</v>
      </c>
      <c r="O308" s="85">
        <f t="shared" si="60"/>
        <v>59326.095879077198</v>
      </c>
      <c r="P308" s="85">
        <f t="shared" ref="P308:P371" si="67">P307+K308</f>
        <v>92032.329999999914</v>
      </c>
      <c r="Q308" s="87">
        <v>258</v>
      </c>
      <c r="R308" s="86">
        <f>IFERROR(EOMONTH(DATE($F$10,$F$9,1),258-1),"")</f>
        <v>52778</v>
      </c>
      <c r="S308" s="85">
        <f t="shared" ref="S308:S371" si="68">IF(X307&lt;=0,0,X307)</f>
        <v>69703.691429420564</v>
      </c>
      <c r="T308" s="85">
        <f t="shared" si="61"/>
        <v>203.3</v>
      </c>
      <c r="U308" s="85">
        <f t="shared" si="62"/>
        <v>1523.8513173952506</v>
      </c>
      <c r="V308" s="85">
        <f t="shared" si="63"/>
        <v>0</v>
      </c>
      <c r="W308" s="85">
        <f t="shared" si="64"/>
        <v>1727.1513173952505</v>
      </c>
      <c r="X308" s="85">
        <f t="shared" si="65"/>
        <v>68179.840112025311</v>
      </c>
      <c r="Y308" s="85">
        <f t="shared" ref="Y308:Y371" si="69">Y307+T308</f>
        <v>168784.88</v>
      </c>
    </row>
    <row r="309" spans="8:25">
      <c r="H309" s="93">
        <v>259</v>
      </c>
      <c r="I309" s="92">
        <f>IFERROR(EOMONTH(DATE($C$10,$C$9,1),259-1),"")</f>
        <v>52809</v>
      </c>
      <c r="J309" s="91">
        <f t="shared" si="66"/>
        <v>59326.095879077198</v>
      </c>
      <c r="K309" s="91">
        <f t="shared" si="56"/>
        <v>99.37</v>
      </c>
      <c r="L309" s="91">
        <f t="shared" si="57"/>
        <v>1364.6076516314861</v>
      </c>
      <c r="M309" s="91">
        <f t="shared" si="58"/>
        <v>0</v>
      </c>
      <c r="N309" s="91">
        <f t="shared" si="59"/>
        <v>1463.977651631486</v>
      </c>
      <c r="O309" s="91">
        <f t="shared" si="60"/>
        <v>57961.488227445712</v>
      </c>
      <c r="P309" s="91">
        <f t="shared" si="67"/>
        <v>92131.69999999991</v>
      </c>
      <c r="Q309" s="90">
        <v>259</v>
      </c>
      <c r="R309" s="89">
        <f>IFERROR(EOMONTH(DATE($F$10,$F$9,1),259-1),"")</f>
        <v>52809</v>
      </c>
      <c r="S309" s="88">
        <f t="shared" si="68"/>
        <v>68179.840112025311</v>
      </c>
      <c r="T309" s="88">
        <f t="shared" si="61"/>
        <v>198.86</v>
      </c>
      <c r="U309" s="88">
        <f t="shared" si="62"/>
        <v>1528.2913173952506</v>
      </c>
      <c r="V309" s="88">
        <f t="shared" si="63"/>
        <v>0</v>
      </c>
      <c r="W309" s="88">
        <f t="shared" si="64"/>
        <v>1727.1513173952508</v>
      </c>
      <c r="X309" s="88">
        <f t="shared" si="65"/>
        <v>66651.548794630056</v>
      </c>
      <c r="Y309" s="88">
        <f t="shared" si="69"/>
        <v>168983.74</v>
      </c>
    </row>
    <row r="310" spans="8:25">
      <c r="H310" s="87">
        <v>260</v>
      </c>
      <c r="I310" s="86">
        <f>IFERROR(EOMONTH(DATE($C$10,$C$9,1),260-1),"")</f>
        <v>52840</v>
      </c>
      <c r="J310" s="85">
        <f t="shared" si="66"/>
        <v>57961.488227445712</v>
      </c>
      <c r="K310" s="85">
        <f t="shared" si="56"/>
        <v>97.09</v>
      </c>
      <c r="L310" s="85">
        <f t="shared" si="57"/>
        <v>1366.8876516314861</v>
      </c>
      <c r="M310" s="85">
        <f t="shared" si="58"/>
        <v>0</v>
      </c>
      <c r="N310" s="85">
        <f t="shared" si="59"/>
        <v>1463.977651631486</v>
      </c>
      <c r="O310" s="85">
        <f t="shared" si="60"/>
        <v>56594.600575814227</v>
      </c>
      <c r="P310" s="85">
        <f t="shared" si="67"/>
        <v>92228.789999999906</v>
      </c>
      <c r="Q310" s="87">
        <v>260</v>
      </c>
      <c r="R310" s="86">
        <f>IFERROR(EOMONTH(DATE($F$10,$F$9,1),260-1),"")</f>
        <v>52840</v>
      </c>
      <c r="S310" s="85">
        <f t="shared" si="68"/>
        <v>66651.548794630056</v>
      </c>
      <c r="T310" s="85">
        <f t="shared" si="61"/>
        <v>194.4</v>
      </c>
      <c r="U310" s="85">
        <f t="shared" si="62"/>
        <v>1532.7513173952505</v>
      </c>
      <c r="V310" s="85">
        <f t="shared" si="63"/>
        <v>0</v>
      </c>
      <c r="W310" s="85">
        <f t="shared" si="64"/>
        <v>1727.1513173952505</v>
      </c>
      <c r="X310" s="85">
        <f t="shared" si="65"/>
        <v>65118.797477234802</v>
      </c>
      <c r="Y310" s="85">
        <f t="shared" si="69"/>
        <v>169178.13999999998</v>
      </c>
    </row>
    <row r="311" spans="8:25">
      <c r="H311" s="93">
        <v>261</v>
      </c>
      <c r="I311" s="92">
        <f>IFERROR(EOMONTH(DATE($C$10,$C$9,1),261-1),"")</f>
        <v>52870</v>
      </c>
      <c r="J311" s="91">
        <f t="shared" si="66"/>
        <v>56594.600575814227</v>
      </c>
      <c r="K311" s="91">
        <f t="shared" si="56"/>
        <v>94.8</v>
      </c>
      <c r="L311" s="91">
        <f t="shared" si="57"/>
        <v>1369.177651631486</v>
      </c>
      <c r="M311" s="91">
        <f t="shared" si="58"/>
        <v>0</v>
      </c>
      <c r="N311" s="91">
        <f t="shared" si="59"/>
        <v>1463.977651631486</v>
      </c>
      <c r="O311" s="91">
        <f t="shared" si="60"/>
        <v>55225.422924182742</v>
      </c>
      <c r="P311" s="91">
        <f t="shared" si="67"/>
        <v>92323.589999999909</v>
      </c>
      <c r="Q311" s="90">
        <v>261</v>
      </c>
      <c r="R311" s="89">
        <f>IFERROR(EOMONTH(DATE($F$10,$F$9,1),261-1),"")</f>
        <v>52870</v>
      </c>
      <c r="S311" s="88">
        <f t="shared" si="68"/>
        <v>65118.797477234802</v>
      </c>
      <c r="T311" s="88">
        <f t="shared" si="61"/>
        <v>189.93</v>
      </c>
      <c r="U311" s="88">
        <f t="shared" si="62"/>
        <v>1537.2213173952505</v>
      </c>
      <c r="V311" s="88">
        <f t="shared" si="63"/>
        <v>0</v>
      </c>
      <c r="W311" s="88">
        <f t="shared" si="64"/>
        <v>1727.1513173952505</v>
      </c>
      <c r="X311" s="88">
        <f t="shared" si="65"/>
        <v>63581.576159839555</v>
      </c>
      <c r="Y311" s="88">
        <f t="shared" si="69"/>
        <v>169368.06999999998</v>
      </c>
    </row>
    <row r="312" spans="8:25">
      <c r="H312" s="87">
        <v>262</v>
      </c>
      <c r="I312" s="86">
        <f>IFERROR(EOMONTH(DATE($C$10,$C$9,1),262-1),"")</f>
        <v>52901</v>
      </c>
      <c r="J312" s="85">
        <f t="shared" si="66"/>
        <v>55225.422924182742</v>
      </c>
      <c r="K312" s="85">
        <f t="shared" si="56"/>
        <v>92.5</v>
      </c>
      <c r="L312" s="85">
        <f t="shared" si="57"/>
        <v>1371.477651631486</v>
      </c>
      <c r="M312" s="85">
        <f t="shared" si="58"/>
        <v>0</v>
      </c>
      <c r="N312" s="85">
        <f t="shared" si="59"/>
        <v>1463.977651631486</v>
      </c>
      <c r="O312" s="85">
        <f t="shared" si="60"/>
        <v>53853.945272551253</v>
      </c>
      <c r="P312" s="85">
        <f t="shared" si="67"/>
        <v>92416.089999999909</v>
      </c>
      <c r="Q312" s="87">
        <v>262</v>
      </c>
      <c r="R312" s="86">
        <f>IFERROR(EOMONTH(DATE($F$10,$F$9,1),262-1),"")</f>
        <v>52901</v>
      </c>
      <c r="S312" s="85">
        <f t="shared" si="68"/>
        <v>63581.576159839555</v>
      </c>
      <c r="T312" s="85">
        <f t="shared" si="61"/>
        <v>185.45</v>
      </c>
      <c r="U312" s="85">
        <f t="shared" si="62"/>
        <v>1541.7013173952505</v>
      </c>
      <c r="V312" s="85">
        <f t="shared" si="63"/>
        <v>0</v>
      </c>
      <c r="W312" s="85">
        <f t="shared" si="64"/>
        <v>1727.1513173952505</v>
      </c>
      <c r="X312" s="85">
        <f t="shared" si="65"/>
        <v>62039.874842444304</v>
      </c>
      <c r="Y312" s="85">
        <f t="shared" si="69"/>
        <v>169553.52</v>
      </c>
    </row>
    <row r="313" spans="8:25">
      <c r="H313" s="93">
        <v>263</v>
      </c>
      <c r="I313" s="92">
        <f>IFERROR(EOMONTH(DATE($C$10,$C$9,1),263-1),"")</f>
        <v>52931</v>
      </c>
      <c r="J313" s="91">
        <f t="shared" si="66"/>
        <v>53853.945272551253</v>
      </c>
      <c r="K313" s="91">
        <f t="shared" si="56"/>
        <v>90.21</v>
      </c>
      <c r="L313" s="91">
        <f t="shared" si="57"/>
        <v>1373.7676516314859</v>
      </c>
      <c r="M313" s="91">
        <f t="shared" si="58"/>
        <v>0</v>
      </c>
      <c r="N313" s="91">
        <f t="shared" si="59"/>
        <v>1463.977651631486</v>
      </c>
      <c r="O313" s="91">
        <f t="shared" si="60"/>
        <v>52480.177620919771</v>
      </c>
      <c r="P313" s="91">
        <f t="shared" si="67"/>
        <v>92506.299999999916</v>
      </c>
      <c r="Q313" s="90">
        <v>263</v>
      </c>
      <c r="R313" s="89">
        <f>IFERROR(EOMONTH(DATE($F$10,$F$9,1),263-1),"")</f>
        <v>52931</v>
      </c>
      <c r="S313" s="88">
        <f t="shared" si="68"/>
        <v>62039.874842444304</v>
      </c>
      <c r="T313" s="88">
        <f t="shared" si="61"/>
        <v>180.95</v>
      </c>
      <c r="U313" s="88">
        <f t="shared" si="62"/>
        <v>1546.2013173952505</v>
      </c>
      <c r="V313" s="88">
        <f t="shared" si="63"/>
        <v>0</v>
      </c>
      <c r="W313" s="88">
        <f t="shared" si="64"/>
        <v>1727.1513173952505</v>
      </c>
      <c r="X313" s="88">
        <f t="shared" si="65"/>
        <v>60493.673525049053</v>
      </c>
      <c r="Y313" s="88">
        <f t="shared" si="69"/>
        <v>169734.47</v>
      </c>
    </row>
    <row r="314" spans="8:25">
      <c r="H314" s="87">
        <v>264</v>
      </c>
      <c r="I314" s="86">
        <f>IFERROR(EOMONTH(DATE($C$10,$C$9,1),264-1),"")</f>
        <v>52962</v>
      </c>
      <c r="J314" s="85">
        <f t="shared" si="66"/>
        <v>52480.177620919771</v>
      </c>
      <c r="K314" s="85">
        <f t="shared" si="56"/>
        <v>87.9</v>
      </c>
      <c r="L314" s="85">
        <f t="shared" si="57"/>
        <v>1376.0776516314859</v>
      </c>
      <c r="M314" s="85">
        <f t="shared" si="58"/>
        <v>0</v>
      </c>
      <c r="N314" s="85">
        <f t="shared" si="59"/>
        <v>1463.977651631486</v>
      </c>
      <c r="O314" s="85">
        <f t="shared" si="60"/>
        <v>51104.099969288283</v>
      </c>
      <c r="P314" s="85">
        <f t="shared" si="67"/>
        <v>92594.19999999991</v>
      </c>
      <c r="Q314" s="87">
        <v>264</v>
      </c>
      <c r="R314" s="86">
        <f>IFERROR(EOMONTH(DATE($F$10,$F$9,1),264-1),"")</f>
        <v>52962</v>
      </c>
      <c r="S314" s="85">
        <f t="shared" si="68"/>
        <v>60493.673525049053</v>
      </c>
      <c r="T314" s="85">
        <f t="shared" si="61"/>
        <v>176.44</v>
      </c>
      <c r="U314" s="85">
        <f t="shared" si="62"/>
        <v>1550.7113173952505</v>
      </c>
      <c r="V314" s="85">
        <f t="shared" si="63"/>
        <v>0</v>
      </c>
      <c r="W314" s="85">
        <f t="shared" si="64"/>
        <v>1727.1513173952505</v>
      </c>
      <c r="X314" s="85">
        <f t="shared" si="65"/>
        <v>58942.9622076538</v>
      </c>
      <c r="Y314" s="85">
        <f t="shared" si="69"/>
        <v>169910.91</v>
      </c>
    </row>
    <row r="315" spans="8:25">
      <c r="H315" s="93">
        <v>265</v>
      </c>
      <c r="I315" s="92">
        <f>IFERROR(EOMONTH(DATE($C$10,$C$9,1),265-1),"")</f>
        <v>52993</v>
      </c>
      <c r="J315" s="91">
        <f t="shared" si="66"/>
        <v>51104.099969288283</v>
      </c>
      <c r="K315" s="91">
        <f t="shared" si="56"/>
        <v>85.6</v>
      </c>
      <c r="L315" s="91">
        <f t="shared" si="57"/>
        <v>1378.3776516314861</v>
      </c>
      <c r="M315" s="91">
        <f t="shared" si="58"/>
        <v>0</v>
      </c>
      <c r="N315" s="91">
        <f t="shared" si="59"/>
        <v>1463.977651631486</v>
      </c>
      <c r="O315" s="91">
        <f t="shared" si="60"/>
        <v>49725.7223176568</v>
      </c>
      <c r="P315" s="91">
        <f t="shared" si="67"/>
        <v>92679.799999999916</v>
      </c>
      <c r="Q315" s="90">
        <v>265</v>
      </c>
      <c r="R315" s="89">
        <f>IFERROR(EOMONTH(DATE($F$10,$F$9,1),265-1),"")</f>
        <v>52993</v>
      </c>
      <c r="S315" s="88">
        <f t="shared" si="68"/>
        <v>58942.9622076538</v>
      </c>
      <c r="T315" s="88">
        <f t="shared" si="61"/>
        <v>171.92</v>
      </c>
      <c r="U315" s="88">
        <f t="shared" si="62"/>
        <v>1555.2313173952505</v>
      </c>
      <c r="V315" s="88">
        <f t="shared" si="63"/>
        <v>0</v>
      </c>
      <c r="W315" s="88">
        <f t="shared" si="64"/>
        <v>1727.1513173952505</v>
      </c>
      <c r="X315" s="88">
        <f t="shared" si="65"/>
        <v>57387.73089025855</v>
      </c>
      <c r="Y315" s="88">
        <f t="shared" si="69"/>
        <v>170082.83000000002</v>
      </c>
    </row>
    <row r="316" spans="8:25">
      <c r="H316" s="87">
        <v>266</v>
      </c>
      <c r="I316" s="86">
        <f>IFERROR(EOMONTH(DATE($C$10,$C$9,1),266-1),"")</f>
        <v>53021</v>
      </c>
      <c r="J316" s="85">
        <f t="shared" si="66"/>
        <v>49725.7223176568</v>
      </c>
      <c r="K316" s="85">
        <f t="shared" si="56"/>
        <v>83.29</v>
      </c>
      <c r="L316" s="85">
        <f t="shared" si="57"/>
        <v>1380.687651631486</v>
      </c>
      <c r="M316" s="85">
        <f t="shared" si="58"/>
        <v>0</v>
      </c>
      <c r="N316" s="85">
        <f t="shared" si="59"/>
        <v>1463.977651631486</v>
      </c>
      <c r="O316" s="85">
        <f t="shared" si="60"/>
        <v>48345.034666025313</v>
      </c>
      <c r="P316" s="85">
        <f t="shared" si="67"/>
        <v>92763.089999999909</v>
      </c>
      <c r="Q316" s="87">
        <v>266</v>
      </c>
      <c r="R316" s="86">
        <f>IFERROR(EOMONTH(DATE($F$10,$F$9,1),266-1),"")</f>
        <v>53021</v>
      </c>
      <c r="S316" s="85">
        <f t="shared" si="68"/>
        <v>57387.73089025855</v>
      </c>
      <c r="T316" s="85">
        <f t="shared" si="61"/>
        <v>167.38</v>
      </c>
      <c r="U316" s="85">
        <f t="shared" si="62"/>
        <v>1559.7713173952507</v>
      </c>
      <c r="V316" s="85">
        <f t="shared" si="63"/>
        <v>0</v>
      </c>
      <c r="W316" s="85">
        <f t="shared" si="64"/>
        <v>1727.1513173952508</v>
      </c>
      <c r="X316" s="85">
        <f t="shared" si="65"/>
        <v>55827.959572863299</v>
      </c>
      <c r="Y316" s="85">
        <f t="shared" si="69"/>
        <v>170250.21000000002</v>
      </c>
    </row>
    <row r="317" spans="8:25">
      <c r="H317" s="93">
        <v>267</v>
      </c>
      <c r="I317" s="92">
        <f>IFERROR(EOMONTH(DATE($C$10,$C$9,1),267-1),"")</f>
        <v>53052</v>
      </c>
      <c r="J317" s="91">
        <f t="shared" si="66"/>
        <v>48345.034666025313</v>
      </c>
      <c r="K317" s="91">
        <f t="shared" si="56"/>
        <v>80.98</v>
      </c>
      <c r="L317" s="91">
        <f t="shared" si="57"/>
        <v>1382.997651631486</v>
      </c>
      <c r="M317" s="91">
        <f t="shared" si="58"/>
        <v>0</v>
      </c>
      <c r="N317" s="91">
        <f t="shared" si="59"/>
        <v>1463.977651631486</v>
      </c>
      <c r="O317" s="91">
        <f t="shared" si="60"/>
        <v>46962.037014393827</v>
      </c>
      <c r="P317" s="91">
        <f t="shared" si="67"/>
        <v>92844.069999999905</v>
      </c>
      <c r="Q317" s="90">
        <v>267</v>
      </c>
      <c r="R317" s="89">
        <f>IFERROR(EOMONTH(DATE($F$10,$F$9,1),267-1),"")</f>
        <v>53052</v>
      </c>
      <c r="S317" s="88">
        <f t="shared" si="68"/>
        <v>55827.959572863299</v>
      </c>
      <c r="T317" s="88">
        <f t="shared" si="61"/>
        <v>162.83000000000001</v>
      </c>
      <c r="U317" s="88">
        <f t="shared" si="62"/>
        <v>1564.3213173952506</v>
      </c>
      <c r="V317" s="88">
        <f t="shared" si="63"/>
        <v>0</v>
      </c>
      <c r="W317" s="88">
        <f t="shared" si="64"/>
        <v>1727.1513173952505</v>
      </c>
      <c r="X317" s="88">
        <f t="shared" si="65"/>
        <v>54263.638255468046</v>
      </c>
      <c r="Y317" s="88">
        <f t="shared" si="69"/>
        <v>170413.04</v>
      </c>
    </row>
    <row r="318" spans="8:25">
      <c r="H318" s="87">
        <v>268</v>
      </c>
      <c r="I318" s="86">
        <f>IFERROR(EOMONTH(DATE($C$10,$C$9,1),268-1),"")</f>
        <v>53082</v>
      </c>
      <c r="J318" s="85">
        <f t="shared" si="66"/>
        <v>46962.037014393827</v>
      </c>
      <c r="K318" s="85">
        <f t="shared" si="56"/>
        <v>78.66</v>
      </c>
      <c r="L318" s="85">
        <f t="shared" si="57"/>
        <v>1385.3176516314859</v>
      </c>
      <c r="M318" s="85">
        <f t="shared" si="58"/>
        <v>0</v>
      </c>
      <c r="N318" s="85">
        <f t="shared" si="59"/>
        <v>1463.977651631486</v>
      </c>
      <c r="O318" s="85">
        <f t="shared" si="60"/>
        <v>45576.719362762342</v>
      </c>
      <c r="P318" s="85">
        <f t="shared" si="67"/>
        <v>92922.729999999909</v>
      </c>
      <c r="Q318" s="87">
        <v>268</v>
      </c>
      <c r="R318" s="86">
        <f>IFERROR(EOMONTH(DATE($F$10,$F$9,1),268-1),"")</f>
        <v>53082</v>
      </c>
      <c r="S318" s="85">
        <f t="shared" si="68"/>
        <v>54263.638255468046</v>
      </c>
      <c r="T318" s="85">
        <f t="shared" si="61"/>
        <v>158.27000000000001</v>
      </c>
      <c r="U318" s="85">
        <f t="shared" si="62"/>
        <v>1568.8813173952506</v>
      </c>
      <c r="V318" s="85">
        <f t="shared" si="63"/>
        <v>0</v>
      </c>
      <c r="W318" s="85">
        <f t="shared" si="64"/>
        <v>1727.1513173952505</v>
      </c>
      <c r="X318" s="85">
        <f t="shared" si="65"/>
        <v>52694.756938072795</v>
      </c>
      <c r="Y318" s="85">
        <f t="shared" si="69"/>
        <v>170571.31</v>
      </c>
    </row>
    <row r="319" spans="8:25">
      <c r="H319" s="93">
        <v>269</v>
      </c>
      <c r="I319" s="92">
        <f>IFERROR(EOMONTH(DATE($C$10,$C$9,1),269-1),"")</f>
        <v>53113</v>
      </c>
      <c r="J319" s="91">
        <f t="shared" si="66"/>
        <v>45576.719362762342</v>
      </c>
      <c r="K319" s="91">
        <f t="shared" si="56"/>
        <v>76.34</v>
      </c>
      <c r="L319" s="91">
        <f t="shared" si="57"/>
        <v>1387.6376516314861</v>
      </c>
      <c r="M319" s="91">
        <f t="shared" si="58"/>
        <v>0</v>
      </c>
      <c r="N319" s="91">
        <f t="shared" si="59"/>
        <v>1463.977651631486</v>
      </c>
      <c r="O319" s="91">
        <f t="shared" si="60"/>
        <v>44189.081711130857</v>
      </c>
      <c r="P319" s="91">
        <f t="shared" si="67"/>
        <v>92999.069999999905</v>
      </c>
      <c r="Q319" s="90">
        <v>269</v>
      </c>
      <c r="R319" s="89">
        <f>IFERROR(EOMONTH(DATE($F$10,$F$9,1),269-1),"")</f>
        <v>53113</v>
      </c>
      <c r="S319" s="88">
        <f t="shared" si="68"/>
        <v>52694.756938072795</v>
      </c>
      <c r="T319" s="88">
        <f t="shared" si="61"/>
        <v>153.69</v>
      </c>
      <c r="U319" s="88">
        <f t="shared" si="62"/>
        <v>1573.4613173952505</v>
      </c>
      <c r="V319" s="88">
        <f t="shared" si="63"/>
        <v>0</v>
      </c>
      <c r="W319" s="88">
        <f t="shared" si="64"/>
        <v>1727.1513173952505</v>
      </c>
      <c r="X319" s="88">
        <f t="shared" si="65"/>
        <v>51121.295620677542</v>
      </c>
      <c r="Y319" s="88">
        <f t="shared" si="69"/>
        <v>170725</v>
      </c>
    </row>
    <row r="320" spans="8:25">
      <c r="H320" s="87">
        <v>270</v>
      </c>
      <c r="I320" s="86">
        <f>IFERROR(EOMONTH(DATE($C$10,$C$9,1),270-1),"")</f>
        <v>53143</v>
      </c>
      <c r="J320" s="85">
        <f t="shared" si="66"/>
        <v>44189.081711130857</v>
      </c>
      <c r="K320" s="85">
        <f t="shared" si="56"/>
        <v>74.02</v>
      </c>
      <c r="L320" s="85">
        <f t="shared" si="57"/>
        <v>1389.957651631486</v>
      </c>
      <c r="M320" s="85">
        <f t="shared" si="58"/>
        <v>0</v>
      </c>
      <c r="N320" s="85">
        <f t="shared" si="59"/>
        <v>1463.977651631486</v>
      </c>
      <c r="O320" s="85">
        <f t="shared" si="60"/>
        <v>42799.124059499372</v>
      </c>
      <c r="P320" s="85">
        <f t="shared" si="67"/>
        <v>93073.089999999909</v>
      </c>
      <c r="Q320" s="87">
        <v>270</v>
      </c>
      <c r="R320" s="86">
        <f>IFERROR(EOMONTH(DATE($F$10,$F$9,1),270-1),"")</f>
        <v>53143</v>
      </c>
      <c r="S320" s="85">
        <f t="shared" si="68"/>
        <v>51121.295620677542</v>
      </c>
      <c r="T320" s="85">
        <f t="shared" si="61"/>
        <v>149.1</v>
      </c>
      <c r="U320" s="85">
        <f t="shared" si="62"/>
        <v>1578.0513173952506</v>
      </c>
      <c r="V320" s="85">
        <f t="shared" si="63"/>
        <v>0</v>
      </c>
      <c r="W320" s="85">
        <f t="shared" si="64"/>
        <v>1727.1513173952505</v>
      </c>
      <c r="X320" s="85">
        <f t="shared" si="65"/>
        <v>49543.244303282292</v>
      </c>
      <c r="Y320" s="85">
        <f t="shared" si="69"/>
        <v>170874.1</v>
      </c>
    </row>
    <row r="321" spans="8:25">
      <c r="H321" s="93">
        <v>271</v>
      </c>
      <c r="I321" s="92">
        <f>IFERROR(EOMONTH(DATE($C$10,$C$9,1),271-1),"")</f>
        <v>53174</v>
      </c>
      <c r="J321" s="91">
        <f t="shared" si="66"/>
        <v>42799.124059499372</v>
      </c>
      <c r="K321" s="91">
        <f t="shared" si="56"/>
        <v>71.69</v>
      </c>
      <c r="L321" s="91">
        <f t="shared" si="57"/>
        <v>1392.2876516314859</v>
      </c>
      <c r="M321" s="91">
        <f t="shared" si="58"/>
        <v>0</v>
      </c>
      <c r="N321" s="91">
        <f t="shared" si="59"/>
        <v>1463.977651631486</v>
      </c>
      <c r="O321" s="91">
        <f t="shared" si="60"/>
        <v>41406.836407867886</v>
      </c>
      <c r="P321" s="91">
        <f t="shared" si="67"/>
        <v>93144.779999999912</v>
      </c>
      <c r="Q321" s="90">
        <v>271</v>
      </c>
      <c r="R321" s="89">
        <f>IFERROR(EOMONTH(DATE($F$10,$F$9,1),271-1),"")</f>
        <v>53174</v>
      </c>
      <c r="S321" s="88">
        <f t="shared" si="68"/>
        <v>49543.244303282292</v>
      </c>
      <c r="T321" s="88">
        <f t="shared" si="61"/>
        <v>144.5</v>
      </c>
      <c r="U321" s="88">
        <f t="shared" si="62"/>
        <v>1582.6513173952505</v>
      </c>
      <c r="V321" s="88">
        <f t="shared" si="63"/>
        <v>0</v>
      </c>
      <c r="W321" s="88">
        <f t="shared" si="64"/>
        <v>1727.1513173952505</v>
      </c>
      <c r="X321" s="88">
        <f t="shared" si="65"/>
        <v>47960.592985887044</v>
      </c>
      <c r="Y321" s="88">
        <f t="shared" si="69"/>
        <v>171018.6</v>
      </c>
    </row>
    <row r="322" spans="8:25">
      <c r="H322" s="87">
        <v>272</v>
      </c>
      <c r="I322" s="86">
        <f>IFERROR(EOMONTH(DATE($C$10,$C$9,1),272-1),"")</f>
        <v>53205</v>
      </c>
      <c r="J322" s="85">
        <f t="shared" si="66"/>
        <v>41406.836407867886</v>
      </c>
      <c r="K322" s="85">
        <f t="shared" si="56"/>
        <v>69.36</v>
      </c>
      <c r="L322" s="85">
        <f t="shared" si="57"/>
        <v>1394.6176516314861</v>
      </c>
      <c r="M322" s="85">
        <f t="shared" si="58"/>
        <v>0</v>
      </c>
      <c r="N322" s="85">
        <f t="shared" si="59"/>
        <v>1463.977651631486</v>
      </c>
      <c r="O322" s="85">
        <f t="shared" si="60"/>
        <v>40012.218756236398</v>
      </c>
      <c r="P322" s="85">
        <f t="shared" si="67"/>
        <v>93214.139999999912</v>
      </c>
      <c r="Q322" s="87">
        <v>272</v>
      </c>
      <c r="R322" s="86">
        <f>IFERROR(EOMONTH(DATE($F$10,$F$9,1),272-1),"")</f>
        <v>53205</v>
      </c>
      <c r="S322" s="85">
        <f t="shared" si="68"/>
        <v>47960.592985887044</v>
      </c>
      <c r="T322" s="85">
        <f t="shared" si="61"/>
        <v>139.88999999999999</v>
      </c>
      <c r="U322" s="85">
        <f t="shared" si="62"/>
        <v>1587.2613173952504</v>
      </c>
      <c r="V322" s="85">
        <f t="shared" si="63"/>
        <v>0</v>
      </c>
      <c r="W322" s="85">
        <f t="shared" si="64"/>
        <v>1727.1513173952503</v>
      </c>
      <c r="X322" s="85">
        <f t="shared" si="65"/>
        <v>46373.331668491795</v>
      </c>
      <c r="Y322" s="85">
        <f t="shared" si="69"/>
        <v>171158.49000000002</v>
      </c>
    </row>
    <row r="323" spans="8:25">
      <c r="H323" s="93">
        <v>273</v>
      </c>
      <c r="I323" s="92">
        <f>IFERROR(EOMONTH(DATE($C$10,$C$9,1),273-1),"")</f>
        <v>53235</v>
      </c>
      <c r="J323" s="91">
        <f t="shared" si="66"/>
        <v>40012.218756236398</v>
      </c>
      <c r="K323" s="91">
        <f t="shared" si="56"/>
        <v>67.02</v>
      </c>
      <c r="L323" s="91">
        <f t="shared" si="57"/>
        <v>1396.957651631486</v>
      </c>
      <c r="M323" s="91">
        <f t="shared" si="58"/>
        <v>0</v>
      </c>
      <c r="N323" s="91">
        <f t="shared" si="59"/>
        <v>1463.977651631486</v>
      </c>
      <c r="O323" s="91">
        <f t="shared" si="60"/>
        <v>38615.261104604913</v>
      </c>
      <c r="P323" s="91">
        <f t="shared" si="67"/>
        <v>93281.159999999916</v>
      </c>
      <c r="Q323" s="90">
        <v>273</v>
      </c>
      <c r="R323" s="89">
        <f>IFERROR(EOMONTH(DATE($F$10,$F$9,1),273-1),"")</f>
        <v>53235</v>
      </c>
      <c r="S323" s="88">
        <f t="shared" si="68"/>
        <v>46373.331668491795</v>
      </c>
      <c r="T323" s="88">
        <f t="shared" si="61"/>
        <v>135.26</v>
      </c>
      <c r="U323" s="88">
        <f t="shared" si="62"/>
        <v>1591.8913173952506</v>
      </c>
      <c r="V323" s="88">
        <f t="shared" si="63"/>
        <v>0</v>
      </c>
      <c r="W323" s="88">
        <f t="shared" si="64"/>
        <v>1727.1513173952505</v>
      </c>
      <c r="X323" s="88">
        <f t="shared" si="65"/>
        <v>44781.440351096542</v>
      </c>
      <c r="Y323" s="88">
        <f t="shared" si="69"/>
        <v>171293.75000000003</v>
      </c>
    </row>
    <row r="324" spans="8:25">
      <c r="H324" s="87">
        <v>274</v>
      </c>
      <c r="I324" s="86">
        <f>IFERROR(EOMONTH(DATE($C$10,$C$9,1),274-1),"")</f>
        <v>53266</v>
      </c>
      <c r="J324" s="85">
        <f t="shared" si="66"/>
        <v>38615.261104604913</v>
      </c>
      <c r="K324" s="85">
        <f t="shared" si="56"/>
        <v>64.680000000000007</v>
      </c>
      <c r="L324" s="85">
        <f t="shared" si="57"/>
        <v>1399.2976516314859</v>
      </c>
      <c r="M324" s="85">
        <f t="shared" si="58"/>
        <v>0</v>
      </c>
      <c r="N324" s="85">
        <f t="shared" si="59"/>
        <v>1463.977651631486</v>
      </c>
      <c r="O324" s="85">
        <f t="shared" si="60"/>
        <v>37215.963452973425</v>
      </c>
      <c r="P324" s="85">
        <f t="shared" si="67"/>
        <v>93345.839999999909</v>
      </c>
      <c r="Q324" s="87">
        <v>274</v>
      </c>
      <c r="R324" s="86">
        <f>IFERROR(EOMONTH(DATE($F$10,$F$9,1),274-1),"")</f>
        <v>53266</v>
      </c>
      <c r="S324" s="85">
        <f t="shared" si="68"/>
        <v>44781.440351096542</v>
      </c>
      <c r="T324" s="85">
        <f t="shared" si="61"/>
        <v>130.61000000000001</v>
      </c>
      <c r="U324" s="85">
        <f t="shared" si="62"/>
        <v>1596.5413173952506</v>
      </c>
      <c r="V324" s="85">
        <f t="shared" si="63"/>
        <v>0</v>
      </c>
      <c r="W324" s="85">
        <f t="shared" si="64"/>
        <v>1727.1513173952508</v>
      </c>
      <c r="X324" s="85">
        <f t="shared" si="65"/>
        <v>43184.899033701295</v>
      </c>
      <c r="Y324" s="85">
        <f t="shared" si="69"/>
        <v>171424.36000000002</v>
      </c>
    </row>
    <row r="325" spans="8:25">
      <c r="H325" s="93">
        <v>275</v>
      </c>
      <c r="I325" s="92">
        <f>IFERROR(EOMONTH(DATE($C$10,$C$9,1),275-1),"")</f>
        <v>53296</v>
      </c>
      <c r="J325" s="91">
        <f t="shared" si="66"/>
        <v>37215.963452973425</v>
      </c>
      <c r="K325" s="91">
        <f t="shared" si="56"/>
        <v>62.34</v>
      </c>
      <c r="L325" s="91">
        <f t="shared" si="57"/>
        <v>1401.6376516314861</v>
      </c>
      <c r="M325" s="91">
        <f t="shared" si="58"/>
        <v>0</v>
      </c>
      <c r="N325" s="91">
        <f t="shared" si="59"/>
        <v>1463.977651631486</v>
      </c>
      <c r="O325" s="91">
        <f t="shared" si="60"/>
        <v>35814.32580134194</v>
      </c>
      <c r="P325" s="91">
        <f t="shared" si="67"/>
        <v>93408.179999999906</v>
      </c>
      <c r="Q325" s="90">
        <v>275</v>
      </c>
      <c r="R325" s="89">
        <f>IFERROR(EOMONTH(DATE($F$10,$F$9,1),275-1),"")</f>
        <v>53296</v>
      </c>
      <c r="S325" s="88">
        <f t="shared" si="68"/>
        <v>43184.899033701295</v>
      </c>
      <c r="T325" s="88">
        <f t="shared" si="61"/>
        <v>125.96</v>
      </c>
      <c r="U325" s="88">
        <f t="shared" si="62"/>
        <v>1601.1913173952505</v>
      </c>
      <c r="V325" s="88">
        <f t="shared" si="63"/>
        <v>0</v>
      </c>
      <c r="W325" s="88">
        <f t="shared" si="64"/>
        <v>1727.1513173952505</v>
      </c>
      <c r="X325" s="88">
        <f t="shared" si="65"/>
        <v>41583.707716306046</v>
      </c>
      <c r="Y325" s="88">
        <f t="shared" si="69"/>
        <v>171550.32</v>
      </c>
    </row>
    <row r="326" spans="8:25">
      <c r="H326" s="87">
        <v>276</v>
      </c>
      <c r="I326" s="86">
        <f>IFERROR(EOMONTH(DATE($C$10,$C$9,1),276-1),"")</f>
        <v>53327</v>
      </c>
      <c r="J326" s="85">
        <f t="shared" si="66"/>
        <v>35814.32580134194</v>
      </c>
      <c r="K326" s="85">
        <f t="shared" si="56"/>
        <v>59.99</v>
      </c>
      <c r="L326" s="85">
        <f t="shared" si="57"/>
        <v>1403.987651631486</v>
      </c>
      <c r="M326" s="85">
        <f t="shared" si="58"/>
        <v>0</v>
      </c>
      <c r="N326" s="85">
        <f t="shared" si="59"/>
        <v>1463.977651631486</v>
      </c>
      <c r="O326" s="85">
        <f t="shared" si="60"/>
        <v>34410.338149710456</v>
      </c>
      <c r="P326" s="85">
        <f t="shared" si="67"/>
        <v>93468.169999999911</v>
      </c>
      <c r="Q326" s="87">
        <v>276</v>
      </c>
      <c r="R326" s="86">
        <f>IFERROR(EOMONTH(DATE($F$10,$F$9,1),276-1),"")</f>
        <v>53327</v>
      </c>
      <c r="S326" s="85">
        <f t="shared" si="68"/>
        <v>41583.707716306046</v>
      </c>
      <c r="T326" s="85">
        <f t="shared" si="61"/>
        <v>121.29</v>
      </c>
      <c r="U326" s="85">
        <f t="shared" si="62"/>
        <v>1605.8613173952506</v>
      </c>
      <c r="V326" s="85">
        <f t="shared" si="63"/>
        <v>0</v>
      </c>
      <c r="W326" s="85">
        <f t="shared" si="64"/>
        <v>1727.1513173952505</v>
      </c>
      <c r="X326" s="85">
        <f t="shared" si="65"/>
        <v>39977.846398910799</v>
      </c>
      <c r="Y326" s="85">
        <f t="shared" si="69"/>
        <v>171671.61000000002</v>
      </c>
    </row>
    <row r="327" spans="8:25">
      <c r="H327" s="93">
        <v>277</v>
      </c>
      <c r="I327" s="92">
        <f>IFERROR(EOMONTH(DATE($C$10,$C$9,1),277-1),"")</f>
        <v>53358</v>
      </c>
      <c r="J327" s="91">
        <f t="shared" si="66"/>
        <v>34410.338149710456</v>
      </c>
      <c r="K327" s="91">
        <f t="shared" si="56"/>
        <v>57.64</v>
      </c>
      <c r="L327" s="91">
        <f t="shared" si="57"/>
        <v>1406.3376516314859</v>
      </c>
      <c r="M327" s="91">
        <f t="shared" si="58"/>
        <v>0</v>
      </c>
      <c r="N327" s="91">
        <f t="shared" si="59"/>
        <v>1463.977651631486</v>
      </c>
      <c r="O327" s="91">
        <f t="shared" si="60"/>
        <v>33004.000498078967</v>
      </c>
      <c r="P327" s="91">
        <f t="shared" si="67"/>
        <v>93525.80999999991</v>
      </c>
      <c r="Q327" s="90">
        <v>277</v>
      </c>
      <c r="R327" s="89">
        <f>IFERROR(EOMONTH(DATE($F$10,$F$9,1),277-1),"")</f>
        <v>53358</v>
      </c>
      <c r="S327" s="88">
        <f t="shared" si="68"/>
        <v>39977.846398910799</v>
      </c>
      <c r="T327" s="88">
        <f t="shared" si="61"/>
        <v>116.6</v>
      </c>
      <c r="U327" s="88">
        <f t="shared" si="62"/>
        <v>1610.5513173952506</v>
      </c>
      <c r="V327" s="88">
        <f t="shared" si="63"/>
        <v>0</v>
      </c>
      <c r="W327" s="88">
        <f t="shared" si="64"/>
        <v>1727.1513173952505</v>
      </c>
      <c r="X327" s="88">
        <f t="shared" si="65"/>
        <v>38367.295081515549</v>
      </c>
      <c r="Y327" s="88">
        <f t="shared" si="69"/>
        <v>171788.21000000002</v>
      </c>
    </row>
    <row r="328" spans="8:25">
      <c r="H328" s="87">
        <v>278</v>
      </c>
      <c r="I328" s="86">
        <f>IFERROR(EOMONTH(DATE($C$10,$C$9,1),278-1),"")</f>
        <v>53386</v>
      </c>
      <c r="J328" s="85">
        <f t="shared" si="66"/>
        <v>33004.000498078967</v>
      </c>
      <c r="K328" s="85">
        <f t="shared" si="56"/>
        <v>55.28</v>
      </c>
      <c r="L328" s="85">
        <f t="shared" si="57"/>
        <v>1408.697651631486</v>
      </c>
      <c r="M328" s="85">
        <f t="shared" si="58"/>
        <v>0</v>
      </c>
      <c r="N328" s="85">
        <f t="shared" si="59"/>
        <v>1463.977651631486</v>
      </c>
      <c r="O328" s="85">
        <f t="shared" si="60"/>
        <v>31595.302846447481</v>
      </c>
      <c r="P328" s="85">
        <f t="shared" si="67"/>
        <v>93581.089999999909</v>
      </c>
      <c r="Q328" s="87">
        <v>278</v>
      </c>
      <c r="R328" s="86">
        <f>IFERROR(EOMONTH(DATE($F$10,$F$9,1),278-1),"")</f>
        <v>53386</v>
      </c>
      <c r="S328" s="85">
        <f t="shared" si="68"/>
        <v>38367.295081515549</v>
      </c>
      <c r="T328" s="85">
        <f t="shared" si="61"/>
        <v>111.9</v>
      </c>
      <c r="U328" s="85">
        <f t="shared" si="62"/>
        <v>1615.2513173952505</v>
      </c>
      <c r="V328" s="85">
        <f t="shared" si="63"/>
        <v>0</v>
      </c>
      <c r="W328" s="85">
        <f t="shared" si="64"/>
        <v>1727.1513173952505</v>
      </c>
      <c r="X328" s="85">
        <f t="shared" si="65"/>
        <v>36752.043764120295</v>
      </c>
      <c r="Y328" s="85">
        <f t="shared" si="69"/>
        <v>171900.11000000002</v>
      </c>
    </row>
    <row r="329" spans="8:25">
      <c r="H329" s="93">
        <v>279</v>
      </c>
      <c r="I329" s="92">
        <f>IFERROR(EOMONTH(DATE($C$10,$C$9,1),279-1),"")</f>
        <v>53417</v>
      </c>
      <c r="J329" s="91">
        <f t="shared" si="66"/>
        <v>31595.302846447481</v>
      </c>
      <c r="K329" s="91">
        <f t="shared" si="56"/>
        <v>52.92</v>
      </c>
      <c r="L329" s="91">
        <f t="shared" si="57"/>
        <v>1411.0576516314859</v>
      </c>
      <c r="M329" s="91">
        <f t="shared" si="58"/>
        <v>0</v>
      </c>
      <c r="N329" s="91">
        <f t="shared" si="59"/>
        <v>1463.977651631486</v>
      </c>
      <c r="O329" s="91">
        <f t="shared" si="60"/>
        <v>30184.245194815994</v>
      </c>
      <c r="P329" s="91">
        <f t="shared" si="67"/>
        <v>93634.009999999907</v>
      </c>
      <c r="Q329" s="90">
        <v>279</v>
      </c>
      <c r="R329" s="89">
        <f>IFERROR(EOMONTH(DATE($F$10,$F$9,1),279-1),"")</f>
        <v>53417</v>
      </c>
      <c r="S329" s="88">
        <f t="shared" si="68"/>
        <v>36752.043764120295</v>
      </c>
      <c r="T329" s="88">
        <f t="shared" si="61"/>
        <v>107.19</v>
      </c>
      <c r="U329" s="88">
        <f t="shared" si="62"/>
        <v>1619.9613173952505</v>
      </c>
      <c r="V329" s="88">
        <f t="shared" si="63"/>
        <v>0</v>
      </c>
      <c r="W329" s="88">
        <f t="shared" si="64"/>
        <v>1727.1513173952505</v>
      </c>
      <c r="X329" s="88">
        <f t="shared" si="65"/>
        <v>35132.082446725042</v>
      </c>
      <c r="Y329" s="88">
        <f t="shared" si="69"/>
        <v>172007.30000000002</v>
      </c>
    </row>
    <row r="330" spans="8:25">
      <c r="H330" s="87">
        <v>280</v>
      </c>
      <c r="I330" s="86">
        <f>IFERROR(EOMONTH(DATE($C$10,$C$9,1),280-1),"")</f>
        <v>53447</v>
      </c>
      <c r="J330" s="85">
        <f t="shared" si="66"/>
        <v>30184.245194815994</v>
      </c>
      <c r="K330" s="85">
        <f t="shared" si="56"/>
        <v>50.56</v>
      </c>
      <c r="L330" s="85">
        <f t="shared" si="57"/>
        <v>1413.417651631486</v>
      </c>
      <c r="M330" s="85">
        <f t="shared" si="58"/>
        <v>0</v>
      </c>
      <c r="N330" s="85">
        <f t="shared" si="59"/>
        <v>1463.977651631486</v>
      </c>
      <c r="O330" s="85">
        <f t="shared" si="60"/>
        <v>28770.827543184507</v>
      </c>
      <c r="P330" s="85">
        <f t="shared" si="67"/>
        <v>93684.569999999905</v>
      </c>
      <c r="Q330" s="87">
        <v>280</v>
      </c>
      <c r="R330" s="86">
        <f>IFERROR(EOMONTH(DATE($F$10,$F$9,1),280-1),"")</f>
        <v>53447</v>
      </c>
      <c r="S330" s="85">
        <f t="shared" si="68"/>
        <v>35132.082446725042</v>
      </c>
      <c r="T330" s="85">
        <f t="shared" si="61"/>
        <v>102.47</v>
      </c>
      <c r="U330" s="85">
        <f t="shared" si="62"/>
        <v>1624.6813173952505</v>
      </c>
      <c r="V330" s="85">
        <f t="shared" si="63"/>
        <v>0</v>
      </c>
      <c r="W330" s="85">
        <f t="shared" si="64"/>
        <v>1727.1513173952505</v>
      </c>
      <c r="X330" s="85">
        <f t="shared" si="65"/>
        <v>33507.401129329795</v>
      </c>
      <c r="Y330" s="85">
        <f t="shared" si="69"/>
        <v>172109.77000000002</v>
      </c>
    </row>
    <row r="331" spans="8:25">
      <c r="H331" s="93">
        <v>281</v>
      </c>
      <c r="I331" s="92">
        <f>IFERROR(EOMONTH(DATE($C$10,$C$9,1),281-1),"")</f>
        <v>53478</v>
      </c>
      <c r="J331" s="91">
        <f t="shared" si="66"/>
        <v>28770.827543184507</v>
      </c>
      <c r="K331" s="91">
        <f t="shared" si="56"/>
        <v>48.19</v>
      </c>
      <c r="L331" s="91">
        <f t="shared" si="57"/>
        <v>1415.7876516314859</v>
      </c>
      <c r="M331" s="91">
        <f t="shared" si="58"/>
        <v>0</v>
      </c>
      <c r="N331" s="91">
        <f t="shared" si="59"/>
        <v>1463.977651631486</v>
      </c>
      <c r="O331" s="91">
        <f t="shared" si="60"/>
        <v>27355.03989155302</v>
      </c>
      <c r="P331" s="91">
        <f t="shared" si="67"/>
        <v>93732.759999999907</v>
      </c>
      <c r="Q331" s="90">
        <v>281</v>
      </c>
      <c r="R331" s="89">
        <f>IFERROR(EOMONTH(DATE($F$10,$F$9,1),281-1),"")</f>
        <v>53478</v>
      </c>
      <c r="S331" s="88">
        <f t="shared" si="68"/>
        <v>33507.401129329795</v>
      </c>
      <c r="T331" s="88">
        <f t="shared" si="61"/>
        <v>97.73</v>
      </c>
      <c r="U331" s="88">
        <f t="shared" si="62"/>
        <v>1629.4213173952505</v>
      </c>
      <c r="V331" s="88">
        <f t="shared" si="63"/>
        <v>0</v>
      </c>
      <c r="W331" s="88">
        <f t="shared" si="64"/>
        <v>1727.1513173952505</v>
      </c>
      <c r="X331" s="88">
        <f t="shared" si="65"/>
        <v>31877.979811934543</v>
      </c>
      <c r="Y331" s="88">
        <f t="shared" si="69"/>
        <v>172207.50000000003</v>
      </c>
    </row>
    <row r="332" spans="8:25">
      <c r="H332" s="87">
        <v>282</v>
      </c>
      <c r="I332" s="86">
        <f>IFERROR(EOMONTH(DATE($C$10,$C$9,1),282-1),"")</f>
        <v>53508</v>
      </c>
      <c r="J332" s="85">
        <f t="shared" si="66"/>
        <v>27355.03989155302</v>
      </c>
      <c r="K332" s="85">
        <f t="shared" si="56"/>
        <v>45.82</v>
      </c>
      <c r="L332" s="85">
        <f t="shared" si="57"/>
        <v>1418.157651631486</v>
      </c>
      <c r="M332" s="85">
        <f t="shared" si="58"/>
        <v>0</v>
      </c>
      <c r="N332" s="85">
        <f t="shared" si="59"/>
        <v>1463.977651631486</v>
      </c>
      <c r="O332" s="85">
        <f t="shared" si="60"/>
        <v>25936.882239921535</v>
      </c>
      <c r="P332" s="85">
        <f t="shared" si="67"/>
        <v>93778.579999999914</v>
      </c>
      <c r="Q332" s="87">
        <v>282</v>
      </c>
      <c r="R332" s="86">
        <f>IFERROR(EOMONTH(DATE($F$10,$F$9,1),282-1),"")</f>
        <v>53508</v>
      </c>
      <c r="S332" s="85">
        <f t="shared" si="68"/>
        <v>31877.979811934543</v>
      </c>
      <c r="T332" s="85">
        <f t="shared" si="61"/>
        <v>92.98</v>
      </c>
      <c r="U332" s="85">
        <f t="shared" si="62"/>
        <v>1634.1713173952505</v>
      </c>
      <c r="V332" s="85">
        <f t="shared" si="63"/>
        <v>0</v>
      </c>
      <c r="W332" s="85">
        <f t="shared" si="64"/>
        <v>1727.1513173952505</v>
      </c>
      <c r="X332" s="85">
        <f t="shared" si="65"/>
        <v>30243.808494539291</v>
      </c>
      <c r="Y332" s="85">
        <f t="shared" si="69"/>
        <v>172300.48000000004</v>
      </c>
    </row>
    <row r="333" spans="8:25">
      <c r="H333" s="93">
        <v>283</v>
      </c>
      <c r="I333" s="92">
        <f>IFERROR(EOMONTH(DATE($C$10,$C$9,1),283-1),"")</f>
        <v>53539</v>
      </c>
      <c r="J333" s="91">
        <f t="shared" si="66"/>
        <v>25936.882239921535</v>
      </c>
      <c r="K333" s="91">
        <f t="shared" si="56"/>
        <v>43.44</v>
      </c>
      <c r="L333" s="91">
        <f t="shared" si="57"/>
        <v>1420.5376516314859</v>
      </c>
      <c r="M333" s="91">
        <f t="shared" si="58"/>
        <v>0</v>
      </c>
      <c r="N333" s="91">
        <f t="shared" si="59"/>
        <v>1463.977651631486</v>
      </c>
      <c r="O333" s="91">
        <f t="shared" si="60"/>
        <v>24516.344588290049</v>
      </c>
      <c r="P333" s="91">
        <f t="shared" si="67"/>
        <v>93822.019999999917</v>
      </c>
      <c r="Q333" s="90">
        <v>283</v>
      </c>
      <c r="R333" s="89">
        <f>IFERROR(EOMONTH(DATE($F$10,$F$9,1),283-1),"")</f>
        <v>53539</v>
      </c>
      <c r="S333" s="88">
        <f t="shared" si="68"/>
        <v>30243.808494539291</v>
      </c>
      <c r="T333" s="88">
        <f t="shared" si="61"/>
        <v>88.21</v>
      </c>
      <c r="U333" s="88">
        <f t="shared" si="62"/>
        <v>1638.9413173952505</v>
      </c>
      <c r="V333" s="88">
        <f t="shared" si="63"/>
        <v>0</v>
      </c>
      <c r="W333" s="88">
        <f t="shared" si="64"/>
        <v>1727.1513173952505</v>
      </c>
      <c r="X333" s="88">
        <f t="shared" si="65"/>
        <v>28604.867177144042</v>
      </c>
      <c r="Y333" s="88">
        <f t="shared" si="69"/>
        <v>172388.69000000003</v>
      </c>
    </row>
    <row r="334" spans="8:25">
      <c r="H334" s="87">
        <v>284</v>
      </c>
      <c r="I334" s="86">
        <f>IFERROR(EOMONTH(DATE($C$10,$C$9,1),284-1),"")</f>
        <v>53570</v>
      </c>
      <c r="J334" s="85">
        <f t="shared" si="66"/>
        <v>24516.344588290049</v>
      </c>
      <c r="K334" s="85">
        <f t="shared" si="56"/>
        <v>41.06</v>
      </c>
      <c r="L334" s="85">
        <f t="shared" si="57"/>
        <v>1422.917651631486</v>
      </c>
      <c r="M334" s="85">
        <f t="shared" si="58"/>
        <v>0</v>
      </c>
      <c r="N334" s="85">
        <f t="shared" si="59"/>
        <v>1463.977651631486</v>
      </c>
      <c r="O334" s="85">
        <f t="shared" si="60"/>
        <v>23093.426936658561</v>
      </c>
      <c r="P334" s="85">
        <f t="shared" si="67"/>
        <v>93863.079999999914</v>
      </c>
      <c r="Q334" s="87">
        <v>284</v>
      </c>
      <c r="R334" s="86">
        <f>IFERROR(EOMONTH(DATE($F$10,$F$9,1),284-1),"")</f>
        <v>53570</v>
      </c>
      <c r="S334" s="85">
        <f t="shared" si="68"/>
        <v>28604.867177144042</v>
      </c>
      <c r="T334" s="85">
        <f t="shared" si="61"/>
        <v>83.43</v>
      </c>
      <c r="U334" s="85">
        <f t="shared" si="62"/>
        <v>1643.7213173952505</v>
      </c>
      <c r="V334" s="85">
        <f t="shared" si="63"/>
        <v>0</v>
      </c>
      <c r="W334" s="85">
        <f t="shared" si="64"/>
        <v>1727.1513173952505</v>
      </c>
      <c r="X334" s="85">
        <f t="shared" si="65"/>
        <v>26961.145859748791</v>
      </c>
      <c r="Y334" s="85">
        <f t="shared" si="69"/>
        <v>172472.12000000002</v>
      </c>
    </row>
    <row r="335" spans="8:25">
      <c r="H335" s="93">
        <v>285</v>
      </c>
      <c r="I335" s="92">
        <f>IFERROR(EOMONTH(DATE($C$10,$C$9,1),285-1),"")</f>
        <v>53600</v>
      </c>
      <c r="J335" s="91">
        <f t="shared" si="66"/>
        <v>23093.426936658561</v>
      </c>
      <c r="K335" s="91">
        <f t="shared" si="56"/>
        <v>38.68</v>
      </c>
      <c r="L335" s="91">
        <f t="shared" si="57"/>
        <v>1425.2976516314859</v>
      </c>
      <c r="M335" s="91">
        <f t="shared" si="58"/>
        <v>0</v>
      </c>
      <c r="N335" s="91">
        <f t="shared" si="59"/>
        <v>1463.977651631486</v>
      </c>
      <c r="O335" s="91">
        <f t="shared" si="60"/>
        <v>21668.129285027077</v>
      </c>
      <c r="P335" s="91">
        <f t="shared" si="67"/>
        <v>93901.759999999907</v>
      </c>
      <c r="Q335" s="90">
        <v>285</v>
      </c>
      <c r="R335" s="89">
        <f>IFERROR(EOMONTH(DATE($F$10,$F$9,1),285-1),"")</f>
        <v>53600</v>
      </c>
      <c r="S335" s="88">
        <f t="shared" si="68"/>
        <v>26961.145859748791</v>
      </c>
      <c r="T335" s="88">
        <f t="shared" si="61"/>
        <v>78.64</v>
      </c>
      <c r="U335" s="88">
        <f t="shared" si="62"/>
        <v>1648.5113173952504</v>
      </c>
      <c r="V335" s="88">
        <f t="shared" si="63"/>
        <v>0</v>
      </c>
      <c r="W335" s="88">
        <f t="shared" si="64"/>
        <v>1727.1513173952505</v>
      </c>
      <c r="X335" s="88">
        <f t="shared" si="65"/>
        <v>25312.634542353539</v>
      </c>
      <c r="Y335" s="88">
        <f t="shared" si="69"/>
        <v>172550.76000000004</v>
      </c>
    </row>
    <row r="336" spans="8:25">
      <c r="H336" s="87">
        <v>286</v>
      </c>
      <c r="I336" s="86">
        <f>IFERROR(EOMONTH(DATE($C$10,$C$9,1),286-1),"")</f>
        <v>53631</v>
      </c>
      <c r="J336" s="85">
        <f t="shared" si="66"/>
        <v>21668.129285027077</v>
      </c>
      <c r="K336" s="85">
        <f t="shared" si="56"/>
        <v>36.29</v>
      </c>
      <c r="L336" s="85">
        <f t="shared" si="57"/>
        <v>1427.687651631486</v>
      </c>
      <c r="M336" s="85">
        <f t="shared" si="58"/>
        <v>0</v>
      </c>
      <c r="N336" s="85">
        <f t="shared" si="59"/>
        <v>1463.977651631486</v>
      </c>
      <c r="O336" s="85">
        <f t="shared" si="60"/>
        <v>20240.441633395589</v>
      </c>
      <c r="P336" s="85">
        <f t="shared" si="67"/>
        <v>93938.049999999901</v>
      </c>
      <c r="Q336" s="87">
        <v>286</v>
      </c>
      <c r="R336" s="86">
        <f>IFERROR(EOMONTH(DATE($F$10,$F$9,1),286-1),"")</f>
        <v>53631</v>
      </c>
      <c r="S336" s="85">
        <f t="shared" si="68"/>
        <v>25312.634542353539</v>
      </c>
      <c r="T336" s="85">
        <f t="shared" si="61"/>
        <v>73.83</v>
      </c>
      <c r="U336" s="85">
        <f t="shared" si="62"/>
        <v>1653.3213173952506</v>
      </c>
      <c r="V336" s="85">
        <f t="shared" si="63"/>
        <v>0</v>
      </c>
      <c r="W336" s="85">
        <f t="shared" si="64"/>
        <v>1727.1513173952505</v>
      </c>
      <c r="X336" s="85">
        <f t="shared" si="65"/>
        <v>23659.313224958289</v>
      </c>
      <c r="Y336" s="85">
        <f t="shared" si="69"/>
        <v>172624.59000000003</v>
      </c>
    </row>
    <row r="337" spans="8:25">
      <c r="H337" s="93">
        <v>287</v>
      </c>
      <c r="I337" s="92">
        <f>IFERROR(EOMONTH(DATE($C$10,$C$9,1),287-1),"")</f>
        <v>53661</v>
      </c>
      <c r="J337" s="91">
        <f t="shared" si="66"/>
        <v>20240.441633395589</v>
      </c>
      <c r="K337" s="91">
        <f t="shared" si="56"/>
        <v>33.9</v>
      </c>
      <c r="L337" s="91">
        <f t="shared" si="57"/>
        <v>1430.0776516314859</v>
      </c>
      <c r="M337" s="91">
        <f t="shared" si="58"/>
        <v>0</v>
      </c>
      <c r="N337" s="91">
        <f t="shared" si="59"/>
        <v>1463.977651631486</v>
      </c>
      <c r="O337" s="91">
        <f t="shared" si="60"/>
        <v>18810.363981764101</v>
      </c>
      <c r="P337" s="91">
        <f t="shared" si="67"/>
        <v>93971.949999999895</v>
      </c>
      <c r="Q337" s="90">
        <v>287</v>
      </c>
      <c r="R337" s="89">
        <f>IFERROR(EOMONTH(DATE($F$10,$F$9,1),287-1),"")</f>
        <v>53661</v>
      </c>
      <c r="S337" s="88">
        <f t="shared" si="68"/>
        <v>23659.313224958289</v>
      </c>
      <c r="T337" s="88">
        <f t="shared" si="61"/>
        <v>69.010000000000005</v>
      </c>
      <c r="U337" s="88">
        <f t="shared" si="62"/>
        <v>1658.1413173952506</v>
      </c>
      <c r="V337" s="88">
        <f t="shared" si="63"/>
        <v>0</v>
      </c>
      <c r="W337" s="88">
        <f t="shared" si="64"/>
        <v>1727.1513173952505</v>
      </c>
      <c r="X337" s="88">
        <f t="shared" si="65"/>
        <v>22001.171907563039</v>
      </c>
      <c r="Y337" s="88">
        <f t="shared" si="69"/>
        <v>172693.60000000003</v>
      </c>
    </row>
    <row r="338" spans="8:25">
      <c r="H338" s="87">
        <v>288</v>
      </c>
      <c r="I338" s="86">
        <f>IFERROR(EOMONTH(DATE($C$10,$C$9,1),288-1),"")</f>
        <v>53692</v>
      </c>
      <c r="J338" s="85">
        <f t="shared" si="66"/>
        <v>18810.363981764101</v>
      </c>
      <c r="K338" s="85">
        <f t="shared" si="56"/>
        <v>31.51</v>
      </c>
      <c r="L338" s="85">
        <f t="shared" si="57"/>
        <v>1432.467651631486</v>
      </c>
      <c r="M338" s="85">
        <f t="shared" si="58"/>
        <v>0</v>
      </c>
      <c r="N338" s="85">
        <f t="shared" si="59"/>
        <v>1463.977651631486</v>
      </c>
      <c r="O338" s="85">
        <f t="shared" si="60"/>
        <v>17377.896330132615</v>
      </c>
      <c r="P338" s="85">
        <f t="shared" si="67"/>
        <v>94003.45999999989</v>
      </c>
      <c r="Q338" s="87">
        <v>288</v>
      </c>
      <c r="R338" s="86">
        <f>IFERROR(EOMONTH(DATE($F$10,$F$9,1),288-1),"")</f>
        <v>53692</v>
      </c>
      <c r="S338" s="85">
        <f t="shared" si="68"/>
        <v>22001.171907563039</v>
      </c>
      <c r="T338" s="85">
        <f t="shared" si="61"/>
        <v>64.17</v>
      </c>
      <c r="U338" s="85">
        <f t="shared" si="62"/>
        <v>1662.9813173952505</v>
      </c>
      <c r="V338" s="85">
        <f t="shared" si="63"/>
        <v>0</v>
      </c>
      <c r="W338" s="85">
        <f t="shared" si="64"/>
        <v>1727.1513173952505</v>
      </c>
      <c r="X338" s="85">
        <f t="shared" si="65"/>
        <v>20338.190590167789</v>
      </c>
      <c r="Y338" s="85">
        <f t="shared" si="69"/>
        <v>172757.77000000005</v>
      </c>
    </row>
    <row r="339" spans="8:25">
      <c r="H339" s="93">
        <v>289</v>
      </c>
      <c r="I339" s="92">
        <f>IFERROR(EOMONTH(DATE($C$10,$C$9,1),289-1),"")</f>
        <v>53723</v>
      </c>
      <c r="J339" s="91">
        <f t="shared" si="66"/>
        <v>17377.896330132615</v>
      </c>
      <c r="K339" s="91">
        <f t="shared" si="56"/>
        <v>29.11</v>
      </c>
      <c r="L339" s="91">
        <f t="shared" si="57"/>
        <v>1434.8676516314861</v>
      </c>
      <c r="M339" s="91">
        <f t="shared" si="58"/>
        <v>0</v>
      </c>
      <c r="N339" s="91">
        <f t="shared" si="59"/>
        <v>1463.977651631486</v>
      </c>
      <c r="O339" s="91">
        <f t="shared" si="60"/>
        <v>15943.028678501129</v>
      </c>
      <c r="P339" s="91">
        <f t="shared" si="67"/>
        <v>94032.569999999891</v>
      </c>
      <c r="Q339" s="90">
        <v>289</v>
      </c>
      <c r="R339" s="89">
        <f>IFERROR(EOMONTH(DATE($F$10,$F$9,1),289-1),"")</f>
        <v>53723</v>
      </c>
      <c r="S339" s="88">
        <f t="shared" si="68"/>
        <v>20338.190590167789</v>
      </c>
      <c r="T339" s="88">
        <f t="shared" si="61"/>
        <v>59.32</v>
      </c>
      <c r="U339" s="88">
        <f t="shared" si="62"/>
        <v>1667.8313173952506</v>
      </c>
      <c r="V339" s="88">
        <f t="shared" si="63"/>
        <v>0</v>
      </c>
      <c r="W339" s="88">
        <f t="shared" si="64"/>
        <v>1727.1513173952505</v>
      </c>
      <c r="X339" s="88">
        <f t="shared" si="65"/>
        <v>18670.359272772537</v>
      </c>
      <c r="Y339" s="88">
        <f t="shared" si="69"/>
        <v>172817.09000000005</v>
      </c>
    </row>
    <row r="340" spans="8:25">
      <c r="H340" s="87">
        <v>290</v>
      </c>
      <c r="I340" s="86">
        <f>IFERROR(EOMONTH(DATE($C$10,$C$9,1),290-1),"")</f>
        <v>53751</v>
      </c>
      <c r="J340" s="85">
        <f t="shared" si="66"/>
        <v>15943.028678501129</v>
      </c>
      <c r="K340" s="85">
        <f t="shared" si="56"/>
        <v>26.7</v>
      </c>
      <c r="L340" s="85">
        <f t="shared" si="57"/>
        <v>1437.2776516314859</v>
      </c>
      <c r="M340" s="85">
        <f t="shared" si="58"/>
        <v>0</v>
      </c>
      <c r="N340" s="85">
        <f t="shared" si="59"/>
        <v>1463.977651631486</v>
      </c>
      <c r="O340" s="85">
        <f t="shared" si="60"/>
        <v>14505.751026869642</v>
      </c>
      <c r="P340" s="85">
        <f t="shared" si="67"/>
        <v>94059.269999999888</v>
      </c>
      <c r="Q340" s="87">
        <v>290</v>
      </c>
      <c r="R340" s="86">
        <f>IFERROR(EOMONTH(DATE($F$10,$F$9,1),290-1),"")</f>
        <v>53751</v>
      </c>
      <c r="S340" s="85">
        <f t="shared" si="68"/>
        <v>18670.359272772537</v>
      </c>
      <c r="T340" s="85">
        <f t="shared" si="61"/>
        <v>54.46</v>
      </c>
      <c r="U340" s="85">
        <f t="shared" si="62"/>
        <v>1672.6913173952505</v>
      </c>
      <c r="V340" s="85">
        <f t="shared" si="63"/>
        <v>0</v>
      </c>
      <c r="W340" s="85">
        <f t="shared" si="64"/>
        <v>1727.1513173952505</v>
      </c>
      <c r="X340" s="85">
        <f t="shared" si="65"/>
        <v>16997.667955377288</v>
      </c>
      <c r="Y340" s="85">
        <f t="shared" si="69"/>
        <v>172871.55000000005</v>
      </c>
    </row>
    <row r="341" spans="8:25">
      <c r="H341" s="93">
        <v>291</v>
      </c>
      <c r="I341" s="92">
        <f>IFERROR(EOMONTH(DATE($C$10,$C$9,1),291-1),"")</f>
        <v>53782</v>
      </c>
      <c r="J341" s="91">
        <f t="shared" si="66"/>
        <v>14505.751026869642</v>
      </c>
      <c r="K341" s="91">
        <f t="shared" si="56"/>
        <v>24.3</v>
      </c>
      <c r="L341" s="91">
        <f t="shared" si="57"/>
        <v>1439.677651631486</v>
      </c>
      <c r="M341" s="91">
        <f t="shared" si="58"/>
        <v>0</v>
      </c>
      <c r="N341" s="91">
        <f t="shared" si="59"/>
        <v>1463.977651631486</v>
      </c>
      <c r="O341" s="91">
        <f t="shared" si="60"/>
        <v>13066.073375238157</v>
      </c>
      <c r="P341" s="91">
        <f t="shared" si="67"/>
        <v>94083.569999999891</v>
      </c>
      <c r="Q341" s="90">
        <v>291</v>
      </c>
      <c r="R341" s="89">
        <f>IFERROR(EOMONTH(DATE($F$10,$F$9,1),291-1),"")</f>
        <v>53782</v>
      </c>
      <c r="S341" s="88">
        <f t="shared" si="68"/>
        <v>16997.667955377288</v>
      </c>
      <c r="T341" s="88">
        <f t="shared" si="61"/>
        <v>49.58</v>
      </c>
      <c r="U341" s="88">
        <f t="shared" si="62"/>
        <v>1677.5713173952506</v>
      </c>
      <c r="V341" s="88">
        <f t="shared" si="63"/>
        <v>0</v>
      </c>
      <c r="W341" s="88">
        <f t="shared" si="64"/>
        <v>1727.1513173952505</v>
      </c>
      <c r="X341" s="88">
        <f t="shared" si="65"/>
        <v>15320.096637982038</v>
      </c>
      <c r="Y341" s="88">
        <f t="shared" si="69"/>
        <v>172921.13000000003</v>
      </c>
    </row>
    <row r="342" spans="8:25">
      <c r="H342" s="87">
        <v>292</v>
      </c>
      <c r="I342" s="86">
        <f>IFERROR(EOMONTH(DATE($C$10,$C$9,1),292-1),"")</f>
        <v>53812</v>
      </c>
      <c r="J342" s="85">
        <f t="shared" si="66"/>
        <v>13066.073375238157</v>
      </c>
      <c r="K342" s="85">
        <f t="shared" si="56"/>
        <v>21.89</v>
      </c>
      <c r="L342" s="85">
        <f t="shared" si="57"/>
        <v>1442.0876516314859</v>
      </c>
      <c r="M342" s="85">
        <f t="shared" si="58"/>
        <v>0</v>
      </c>
      <c r="N342" s="85">
        <f t="shared" si="59"/>
        <v>1463.977651631486</v>
      </c>
      <c r="O342" s="85">
        <f t="shared" si="60"/>
        <v>11623.985723606671</v>
      </c>
      <c r="P342" s="85">
        <f t="shared" si="67"/>
        <v>94105.45999999989</v>
      </c>
      <c r="Q342" s="87">
        <v>292</v>
      </c>
      <c r="R342" s="86">
        <f>IFERROR(EOMONTH(DATE($F$10,$F$9,1),292-1),"")</f>
        <v>53812</v>
      </c>
      <c r="S342" s="85">
        <f t="shared" si="68"/>
        <v>15320.096637982038</v>
      </c>
      <c r="T342" s="85">
        <f t="shared" si="61"/>
        <v>44.68</v>
      </c>
      <c r="U342" s="85">
        <f t="shared" si="62"/>
        <v>1682.4713173952505</v>
      </c>
      <c r="V342" s="85">
        <f t="shared" si="63"/>
        <v>0</v>
      </c>
      <c r="W342" s="85">
        <f t="shared" si="64"/>
        <v>1727.1513173952505</v>
      </c>
      <c r="X342" s="85">
        <f t="shared" si="65"/>
        <v>13637.625320586787</v>
      </c>
      <c r="Y342" s="85">
        <f t="shared" si="69"/>
        <v>172965.81000000003</v>
      </c>
    </row>
    <row r="343" spans="8:25">
      <c r="H343" s="93">
        <v>293</v>
      </c>
      <c r="I343" s="92">
        <f>IFERROR(EOMONTH(DATE($C$10,$C$9,1),293-1),"")</f>
        <v>53843</v>
      </c>
      <c r="J343" s="91">
        <f t="shared" si="66"/>
        <v>11623.985723606671</v>
      </c>
      <c r="K343" s="91">
        <f t="shared" si="56"/>
        <v>19.47</v>
      </c>
      <c r="L343" s="91">
        <f t="shared" si="57"/>
        <v>1444.5076516314859</v>
      </c>
      <c r="M343" s="91">
        <f t="shared" si="58"/>
        <v>0</v>
      </c>
      <c r="N343" s="91">
        <f t="shared" si="59"/>
        <v>1463.977651631486</v>
      </c>
      <c r="O343" s="91">
        <f t="shared" si="60"/>
        <v>10179.478071975185</v>
      </c>
      <c r="P343" s="91">
        <f t="shared" si="67"/>
        <v>94124.929999999891</v>
      </c>
      <c r="Q343" s="90">
        <v>293</v>
      </c>
      <c r="R343" s="89">
        <f>IFERROR(EOMONTH(DATE($F$10,$F$9,1),293-1),"")</f>
        <v>53843</v>
      </c>
      <c r="S343" s="88">
        <f t="shared" si="68"/>
        <v>13637.625320586787</v>
      </c>
      <c r="T343" s="88">
        <f t="shared" si="61"/>
        <v>39.78</v>
      </c>
      <c r="U343" s="88">
        <f t="shared" si="62"/>
        <v>1687.3713173952506</v>
      </c>
      <c r="V343" s="88">
        <f t="shared" si="63"/>
        <v>0</v>
      </c>
      <c r="W343" s="88">
        <f t="shared" si="64"/>
        <v>1727.1513173952505</v>
      </c>
      <c r="X343" s="88">
        <f t="shared" si="65"/>
        <v>11950.254003191536</v>
      </c>
      <c r="Y343" s="88">
        <f t="shared" si="69"/>
        <v>173005.59000000003</v>
      </c>
    </row>
    <row r="344" spans="8:25">
      <c r="H344" s="87">
        <v>294</v>
      </c>
      <c r="I344" s="86">
        <f>IFERROR(EOMONTH(DATE($C$10,$C$9,1),294-1),"")</f>
        <v>53873</v>
      </c>
      <c r="J344" s="85">
        <f t="shared" si="66"/>
        <v>10179.478071975185</v>
      </c>
      <c r="K344" s="85">
        <f t="shared" si="56"/>
        <v>17.05</v>
      </c>
      <c r="L344" s="85">
        <f t="shared" si="57"/>
        <v>1446.927651631486</v>
      </c>
      <c r="M344" s="85">
        <f t="shared" si="58"/>
        <v>0</v>
      </c>
      <c r="N344" s="85">
        <f t="shared" si="59"/>
        <v>1463.977651631486</v>
      </c>
      <c r="O344" s="85">
        <f t="shared" si="60"/>
        <v>8732.5504203436994</v>
      </c>
      <c r="P344" s="85">
        <f t="shared" si="67"/>
        <v>94141.979999999894</v>
      </c>
      <c r="Q344" s="87">
        <v>294</v>
      </c>
      <c r="R344" s="86">
        <f>IFERROR(EOMONTH(DATE($F$10,$F$9,1),294-1),"")</f>
        <v>53873</v>
      </c>
      <c r="S344" s="85">
        <f t="shared" si="68"/>
        <v>11950.254003191536</v>
      </c>
      <c r="T344" s="85">
        <f t="shared" si="61"/>
        <v>34.85</v>
      </c>
      <c r="U344" s="85">
        <f t="shared" si="62"/>
        <v>1692.3013173952506</v>
      </c>
      <c r="V344" s="85">
        <f t="shared" si="63"/>
        <v>0</v>
      </c>
      <c r="W344" s="85">
        <f t="shared" si="64"/>
        <v>1727.1513173952505</v>
      </c>
      <c r="X344" s="85">
        <f t="shared" si="65"/>
        <v>10257.952685796285</v>
      </c>
      <c r="Y344" s="85">
        <f t="shared" si="69"/>
        <v>173040.44000000003</v>
      </c>
    </row>
    <row r="345" spans="8:25">
      <c r="H345" s="93">
        <v>295</v>
      </c>
      <c r="I345" s="92">
        <f>IFERROR(EOMONTH(DATE($C$10,$C$9,1),295-1),"")</f>
        <v>53904</v>
      </c>
      <c r="J345" s="91">
        <f t="shared" si="66"/>
        <v>8732.5504203436994</v>
      </c>
      <c r="K345" s="91">
        <f t="shared" si="56"/>
        <v>14.63</v>
      </c>
      <c r="L345" s="91">
        <f t="shared" si="57"/>
        <v>1449.3476516314859</v>
      </c>
      <c r="M345" s="91">
        <f t="shared" si="58"/>
        <v>0</v>
      </c>
      <c r="N345" s="91">
        <f t="shared" si="59"/>
        <v>1463.977651631486</v>
      </c>
      <c r="O345" s="91">
        <f t="shared" si="60"/>
        <v>7283.2027687122136</v>
      </c>
      <c r="P345" s="91">
        <f t="shared" si="67"/>
        <v>94156.609999999899</v>
      </c>
      <c r="Q345" s="90">
        <v>295</v>
      </c>
      <c r="R345" s="89">
        <f>IFERROR(EOMONTH(DATE($F$10,$F$9,1),295-1),"")</f>
        <v>53904</v>
      </c>
      <c r="S345" s="88">
        <f t="shared" si="68"/>
        <v>10257.952685796285</v>
      </c>
      <c r="T345" s="88">
        <f t="shared" si="61"/>
        <v>29.92</v>
      </c>
      <c r="U345" s="88">
        <f t="shared" si="62"/>
        <v>1697.2313173952505</v>
      </c>
      <c r="V345" s="88">
        <f t="shared" si="63"/>
        <v>0</v>
      </c>
      <c r="W345" s="88">
        <f t="shared" si="64"/>
        <v>1727.1513173952505</v>
      </c>
      <c r="X345" s="88">
        <f t="shared" si="65"/>
        <v>8560.7213684010349</v>
      </c>
      <c r="Y345" s="88">
        <f t="shared" si="69"/>
        <v>173070.36000000004</v>
      </c>
    </row>
    <row r="346" spans="8:25">
      <c r="H346" s="87">
        <v>296</v>
      </c>
      <c r="I346" s="86">
        <f>IFERROR(EOMONTH(DATE($C$10,$C$9,1),296-1),"")</f>
        <v>53935</v>
      </c>
      <c r="J346" s="85">
        <f t="shared" si="66"/>
        <v>7283.2027687122136</v>
      </c>
      <c r="K346" s="85">
        <f t="shared" si="56"/>
        <v>12.2</v>
      </c>
      <c r="L346" s="85">
        <f t="shared" si="57"/>
        <v>1451.7776516314859</v>
      </c>
      <c r="M346" s="85">
        <f t="shared" si="58"/>
        <v>0</v>
      </c>
      <c r="N346" s="85">
        <f t="shared" si="59"/>
        <v>1463.977651631486</v>
      </c>
      <c r="O346" s="85">
        <f t="shared" si="60"/>
        <v>5831.4251170807274</v>
      </c>
      <c r="P346" s="85">
        <f t="shared" si="67"/>
        <v>94168.809999999896</v>
      </c>
      <c r="Q346" s="87">
        <v>296</v>
      </c>
      <c r="R346" s="86">
        <f>IFERROR(EOMONTH(DATE($F$10,$F$9,1),296-1),"")</f>
        <v>53935</v>
      </c>
      <c r="S346" s="85">
        <f t="shared" si="68"/>
        <v>8560.7213684010349</v>
      </c>
      <c r="T346" s="85">
        <f t="shared" si="61"/>
        <v>24.97</v>
      </c>
      <c r="U346" s="85">
        <f t="shared" si="62"/>
        <v>1702.1813173952505</v>
      </c>
      <c r="V346" s="85">
        <f t="shared" si="63"/>
        <v>0</v>
      </c>
      <c r="W346" s="85">
        <f t="shared" si="64"/>
        <v>1727.1513173952505</v>
      </c>
      <c r="X346" s="85">
        <f t="shared" si="65"/>
        <v>6858.5400510057843</v>
      </c>
      <c r="Y346" s="85">
        <f t="shared" si="69"/>
        <v>173095.33000000005</v>
      </c>
    </row>
    <row r="347" spans="8:25">
      <c r="H347" s="93">
        <v>297</v>
      </c>
      <c r="I347" s="92">
        <f>IFERROR(EOMONTH(DATE($C$10,$C$9,1),297-1),"")</f>
        <v>53965</v>
      </c>
      <c r="J347" s="91">
        <f t="shared" si="66"/>
        <v>5831.4251170807274</v>
      </c>
      <c r="K347" s="91">
        <f t="shared" si="56"/>
        <v>9.77</v>
      </c>
      <c r="L347" s="91">
        <f t="shared" si="57"/>
        <v>1454.207651631486</v>
      </c>
      <c r="M347" s="91">
        <f t="shared" si="58"/>
        <v>0</v>
      </c>
      <c r="N347" s="91">
        <f t="shared" si="59"/>
        <v>1463.977651631486</v>
      </c>
      <c r="O347" s="91">
        <f t="shared" si="60"/>
        <v>4377.217465449241</v>
      </c>
      <c r="P347" s="91">
        <f t="shared" si="67"/>
        <v>94178.5799999999</v>
      </c>
      <c r="Q347" s="90">
        <v>297</v>
      </c>
      <c r="R347" s="89">
        <f>IFERROR(EOMONTH(DATE($F$10,$F$9,1),297-1),"")</f>
        <v>53965</v>
      </c>
      <c r="S347" s="88">
        <f t="shared" si="68"/>
        <v>6858.5400510057843</v>
      </c>
      <c r="T347" s="88">
        <f t="shared" si="61"/>
        <v>20</v>
      </c>
      <c r="U347" s="88">
        <f t="shared" si="62"/>
        <v>1707.1513173952505</v>
      </c>
      <c r="V347" s="88">
        <f t="shared" si="63"/>
        <v>0</v>
      </c>
      <c r="W347" s="88">
        <f t="shared" si="64"/>
        <v>1727.1513173952505</v>
      </c>
      <c r="X347" s="88">
        <f t="shared" si="65"/>
        <v>5151.3887336105336</v>
      </c>
      <c r="Y347" s="88">
        <f t="shared" si="69"/>
        <v>173115.33000000005</v>
      </c>
    </row>
    <row r="348" spans="8:25">
      <c r="H348" s="87">
        <v>298</v>
      </c>
      <c r="I348" s="86">
        <f>IFERROR(EOMONTH(DATE($C$10,$C$9,1),298-1),"")</f>
        <v>53996</v>
      </c>
      <c r="J348" s="85">
        <f t="shared" si="66"/>
        <v>4377.217465449241</v>
      </c>
      <c r="K348" s="85">
        <f t="shared" si="56"/>
        <v>7.33</v>
      </c>
      <c r="L348" s="85">
        <f t="shared" si="57"/>
        <v>1456.647651631486</v>
      </c>
      <c r="M348" s="85">
        <f t="shared" si="58"/>
        <v>0</v>
      </c>
      <c r="N348" s="85">
        <f t="shared" si="59"/>
        <v>1463.977651631486</v>
      </c>
      <c r="O348" s="85">
        <f t="shared" si="60"/>
        <v>2920.5698138177549</v>
      </c>
      <c r="P348" s="85">
        <f t="shared" si="67"/>
        <v>94185.909999999902</v>
      </c>
      <c r="Q348" s="87">
        <v>298</v>
      </c>
      <c r="R348" s="86">
        <f>IFERROR(EOMONTH(DATE($F$10,$F$9,1),298-1),"")</f>
        <v>53996</v>
      </c>
      <c r="S348" s="85">
        <f t="shared" si="68"/>
        <v>5151.3887336105336</v>
      </c>
      <c r="T348" s="85">
        <f t="shared" si="61"/>
        <v>15.02</v>
      </c>
      <c r="U348" s="85">
        <f t="shared" si="62"/>
        <v>1712.1313173952506</v>
      </c>
      <c r="V348" s="85">
        <f t="shared" si="63"/>
        <v>0</v>
      </c>
      <c r="W348" s="85">
        <f t="shared" si="64"/>
        <v>1727.1513173952505</v>
      </c>
      <c r="X348" s="85">
        <f t="shared" si="65"/>
        <v>3439.2574162152832</v>
      </c>
      <c r="Y348" s="85">
        <f t="shared" si="69"/>
        <v>173130.35000000003</v>
      </c>
    </row>
    <row r="349" spans="8:25">
      <c r="H349" s="93">
        <v>299</v>
      </c>
      <c r="I349" s="92">
        <f>IFERROR(EOMONTH(DATE($C$10,$C$9,1),299-1),"")</f>
        <v>54026</v>
      </c>
      <c r="J349" s="91">
        <f t="shared" si="66"/>
        <v>2920.5698138177549</v>
      </c>
      <c r="K349" s="91">
        <f t="shared" si="56"/>
        <v>4.8899999999999997</v>
      </c>
      <c r="L349" s="91">
        <f t="shared" si="57"/>
        <v>1459.0876516314859</v>
      </c>
      <c r="M349" s="91">
        <f t="shared" si="58"/>
        <v>0</v>
      </c>
      <c r="N349" s="91">
        <f t="shared" si="59"/>
        <v>1463.977651631486</v>
      </c>
      <c r="O349" s="91">
        <f t="shared" si="60"/>
        <v>1461.4821621862691</v>
      </c>
      <c r="P349" s="91">
        <f t="shared" si="67"/>
        <v>94190.799999999901</v>
      </c>
      <c r="Q349" s="90">
        <v>299</v>
      </c>
      <c r="R349" s="89">
        <f>IFERROR(EOMONTH(DATE($F$10,$F$9,1),299-1),"")</f>
        <v>54026</v>
      </c>
      <c r="S349" s="88">
        <f t="shared" si="68"/>
        <v>3439.2574162152832</v>
      </c>
      <c r="T349" s="88">
        <f t="shared" si="61"/>
        <v>10.029999999999999</v>
      </c>
      <c r="U349" s="88">
        <f t="shared" si="62"/>
        <v>1717.1213173952506</v>
      </c>
      <c r="V349" s="88">
        <f t="shared" si="63"/>
        <v>0</v>
      </c>
      <c r="W349" s="88">
        <f t="shared" si="64"/>
        <v>1727.1513173952505</v>
      </c>
      <c r="X349" s="88">
        <f t="shared" si="65"/>
        <v>1722.1360988200327</v>
      </c>
      <c r="Y349" s="88">
        <f t="shared" si="69"/>
        <v>173140.38000000003</v>
      </c>
    </row>
    <row r="350" spans="8:25">
      <c r="H350" s="87">
        <v>300</v>
      </c>
      <c r="I350" s="86">
        <f>IFERROR(EOMONTH(DATE($C$10,$C$9,1),300-1),"")</f>
        <v>54057</v>
      </c>
      <c r="J350" s="85">
        <f t="shared" si="66"/>
        <v>1461.4821621862691</v>
      </c>
      <c r="K350" s="85">
        <f t="shared" si="56"/>
        <v>2.4500000000000002</v>
      </c>
      <c r="L350" s="85">
        <f t="shared" si="57"/>
        <v>1461.4821621862691</v>
      </c>
      <c r="M350" s="85">
        <f t="shared" si="58"/>
        <v>0</v>
      </c>
      <c r="N350" s="85">
        <f t="shared" si="59"/>
        <v>1463.9321621862691</v>
      </c>
      <c r="O350" s="85">
        <f t="shared" si="60"/>
        <v>0</v>
      </c>
      <c r="P350" s="85">
        <f t="shared" si="67"/>
        <v>94193.249999999898</v>
      </c>
      <c r="Q350" s="87">
        <v>300</v>
      </c>
      <c r="R350" s="86">
        <f>IFERROR(EOMONTH(DATE($F$10,$F$9,1),300-1),"")</f>
        <v>54057</v>
      </c>
      <c r="S350" s="85">
        <f t="shared" si="68"/>
        <v>1722.1360988200327</v>
      </c>
      <c r="T350" s="85">
        <f t="shared" si="61"/>
        <v>5.0199999999999996</v>
      </c>
      <c r="U350" s="85">
        <f t="shared" si="62"/>
        <v>1722.1313173952506</v>
      </c>
      <c r="V350" s="85">
        <f t="shared" si="63"/>
        <v>0</v>
      </c>
      <c r="W350" s="85">
        <f t="shared" si="64"/>
        <v>1727.1513173952505</v>
      </c>
      <c r="X350" s="85">
        <f t="shared" si="65"/>
        <v>4.7814247820952005E-3</v>
      </c>
      <c r="Y350" s="85">
        <f t="shared" si="69"/>
        <v>173145.40000000002</v>
      </c>
    </row>
    <row r="351" spans="8:25">
      <c r="H351" s="84">
        <v>301</v>
      </c>
      <c r="I351" s="83">
        <f>IFERROR(EOMONTH(DATE($C$10,$C$9,1),301-1),"")</f>
        <v>54088</v>
      </c>
      <c r="J351" s="82">
        <f t="shared" si="66"/>
        <v>0</v>
      </c>
      <c r="K351" s="82">
        <f t="shared" si="56"/>
        <v>0</v>
      </c>
      <c r="L351" s="82">
        <f t="shared" si="57"/>
        <v>0</v>
      </c>
      <c r="M351" s="82">
        <f t="shared" si="58"/>
        <v>0</v>
      </c>
      <c r="N351" s="82">
        <f t="shared" si="59"/>
        <v>0</v>
      </c>
      <c r="O351" s="82">
        <f t="shared" si="60"/>
        <v>0</v>
      </c>
      <c r="P351" s="82">
        <f t="shared" si="67"/>
        <v>94193.249999999898</v>
      </c>
      <c r="Q351" s="81">
        <v>301</v>
      </c>
      <c r="R351" s="80">
        <f>IFERROR(EOMONTH(DATE($F$10,$F$9,1),301-1),"")</f>
        <v>54088</v>
      </c>
      <c r="S351" s="79">
        <f t="shared" si="68"/>
        <v>4.7814247820952005E-3</v>
      </c>
      <c r="T351" s="79">
        <f t="shared" si="61"/>
        <v>0</v>
      </c>
      <c r="U351" s="79">
        <f t="shared" si="62"/>
        <v>4.7814247820952005E-3</v>
      </c>
      <c r="V351" s="79">
        <f t="shared" si="63"/>
        <v>0</v>
      </c>
      <c r="W351" s="79">
        <f t="shared" si="64"/>
        <v>4.7814247820952005E-3</v>
      </c>
      <c r="X351" s="79">
        <f t="shared" si="65"/>
        <v>0</v>
      </c>
      <c r="Y351" s="79">
        <f t="shared" si="69"/>
        <v>173145.40000000002</v>
      </c>
    </row>
    <row r="352" spans="8:25">
      <c r="H352" s="78">
        <v>302</v>
      </c>
      <c r="I352" s="77">
        <f>IFERROR(EOMONTH(DATE($C$10,$C$9,1),302-1),"")</f>
        <v>54117</v>
      </c>
      <c r="J352" s="76">
        <f t="shared" si="66"/>
        <v>0</v>
      </c>
      <c r="K352" s="76">
        <f t="shared" si="56"/>
        <v>0</v>
      </c>
      <c r="L352" s="76">
        <f t="shared" si="57"/>
        <v>0</v>
      </c>
      <c r="M352" s="76">
        <f t="shared" si="58"/>
        <v>0</v>
      </c>
      <c r="N352" s="76">
        <f t="shared" si="59"/>
        <v>0</v>
      </c>
      <c r="O352" s="76">
        <f t="shared" si="60"/>
        <v>0</v>
      </c>
      <c r="P352" s="76">
        <f t="shared" si="67"/>
        <v>94193.249999999898</v>
      </c>
      <c r="Q352" s="78">
        <v>302</v>
      </c>
      <c r="R352" s="77">
        <f>IFERROR(EOMONTH(DATE($F$10,$F$9,1),302-1),"")</f>
        <v>54117</v>
      </c>
      <c r="S352" s="76">
        <f t="shared" si="68"/>
        <v>0</v>
      </c>
      <c r="T352" s="76">
        <f t="shared" si="61"/>
        <v>0</v>
      </c>
      <c r="U352" s="76">
        <f t="shared" si="62"/>
        <v>0</v>
      </c>
      <c r="V352" s="76">
        <f t="shared" si="63"/>
        <v>0</v>
      </c>
      <c r="W352" s="76">
        <f t="shared" si="64"/>
        <v>0</v>
      </c>
      <c r="X352" s="76">
        <f t="shared" si="65"/>
        <v>0</v>
      </c>
      <c r="Y352" s="76">
        <f t="shared" si="69"/>
        <v>173145.40000000002</v>
      </c>
    </row>
    <row r="353" spans="8:25">
      <c r="H353" s="84">
        <v>303</v>
      </c>
      <c r="I353" s="83">
        <f>IFERROR(EOMONTH(DATE($C$10,$C$9,1),303-1),"")</f>
        <v>54148</v>
      </c>
      <c r="J353" s="82">
        <f t="shared" si="66"/>
        <v>0</v>
      </c>
      <c r="K353" s="82">
        <f t="shared" si="56"/>
        <v>0</v>
      </c>
      <c r="L353" s="82">
        <f t="shared" si="57"/>
        <v>0</v>
      </c>
      <c r="M353" s="82">
        <f t="shared" si="58"/>
        <v>0</v>
      </c>
      <c r="N353" s="82">
        <f t="shared" si="59"/>
        <v>0</v>
      </c>
      <c r="O353" s="82">
        <f t="shared" si="60"/>
        <v>0</v>
      </c>
      <c r="P353" s="82">
        <f t="shared" si="67"/>
        <v>94193.249999999898</v>
      </c>
      <c r="Q353" s="81">
        <v>303</v>
      </c>
      <c r="R353" s="80">
        <f>IFERROR(EOMONTH(DATE($F$10,$F$9,1),303-1),"")</f>
        <v>54148</v>
      </c>
      <c r="S353" s="79">
        <f t="shared" si="68"/>
        <v>0</v>
      </c>
      <c r="T353" s="79">
        <f t="shared" si="61"/>
        <v>0</v>
      </c>
      <c r="U353" s="79">
        <f t="shared" si="62"/>
        <v>0</v>
      </c>
      <c r="V353" s="79">
        <f t="shared" si="63"/>
        <v>0</v>
      </c>
      <c r="W353" s="79">
        <f t="shared" si="64"/>
        <v>0</v>
      </c>
      <c r="X353" s="79">
        <f t="shared" si="65"/>
        <v>0</v>
      </c>
      <c r="Y353" s="79">
        <f t="shared" si="69"/>
        <v>173145.40000000002</v>
      </c>
    </row>
    <row r="354" spans="8:25">
      <c r="H354" s="78">
        <v>304</v>
      </c>
      <c r="I354" s="77">
        <f>IFERROR(EOMONTH(DATE($C$10,$C$9,1),304-1),"")</f>
        <v>54178</v>
      </c>
      <c r="J354" s="76">
        <f t="shared" si="66"/>
        <v>0</v>
      </c>
      <c r="K354" s="76">
        <f t="shared" si="56"/>
        <v>0</v>
      </c>
      <c r="L354" s="76">
        <f t="shared" si="57"/>
        <v>0</v>
      </c>
      <c r="M354" s="76">
        <f t="shared" si="58"/>
        <v>0</v>
      </c>
      <c r="N354" s="76">
        <f t="shared" si="59"/>
        <v>0</v>
      </c>
      <c r="O354" s="76">
        <f t="shared" si="60"/>
        <v>0</v>
      </c>
      <c r="P354" s="76">
        <f t="shared" si="67"/>
        <v>94193.249999999898</v>
      </c>
      <c r="Q354" s="78">
        <v>304</v>
      </c>
      <c r="R354" s="77">
        <f>IFERROR(EOMONTH(DATE($F$10,$F$9,1),304-1),"")</f>
        <v>54178</v>
      </c>
      <c r="S354" s="76">
        <f t="shared" si="68"/>
        <v>0</v>
      </c>
      <c r="T354" s="76">
        <f t="shared" si="61"/>
        <v>0</v>
      </c>
      <c r="U354" s="76">
        <f t="shared" si="62"/>
        <v>0</v>
      </c>
      <c r="V354" s="76">
        <f t="shared" si="63"/>
        <v>0</v>
      </c>
      <c r="W354" s="76">
        <f t="shared" si="64"/>
        <v>0</v>
      </c>
      <c r="X354" s="76">
        <f t="shared" si="65"/>
        <v>0</v>
      </c>
      <c r="Y354" s="76">
        <f t="shared" si="69"/>
        <v>173145.40000000002</v>
      </c>
    </row>
    <row r="355" spans="8:25">
      <c r="H355" s="84">
        <v>305</v>
      </c>
      <c r="I355" s="83">
        <f>IFERROR(EOMONTH(DATE($C$10,$C$9,1),305-1),"")</f>
        <v>54209</v>
      </c>
      <c r="J355" s="82">
        <f t="shared" si="66"/>
        <v>0</v>
      </c>
      <c r="K355" s="82">
        <f t="shared" si="56"/>
        <v>0</v>
      </c>
      <c r="L355" s="82">
        <f t="shared" si="57"/>
        <v>0</v>
      </c>
      <c r="M355" s="82">
        <f t="shared" si="58"/>
        <v>0</v>
      </c>
      <c r="N355" s="82">
        <f t="shared" si="59"/>
        <v>0</v>
      </c>
      <c r="O355" s="82">
        <f t="shared" si="60"/>
        <v>0</v>
      </c>
      <c r="P355" s="82">
        <f t="shared" si="67"/>
        <v>94193.249999999898</v>
      </c>
      <c r="Q355" s="81">
        <v>305</v>
      </c>
      <c r="R355" s="80">
        <f>IFERROR(EOMONTH(DATE($F$10,$F$9,1),305-1),"")</f>
        <v>54209</v>
      </c>
      <c r="S355" s="79">
        <f t="shared" si="68"/>
        <v>0</v>
      </c>
      <c r="T355" s="79">
        <f t="shared" si="61"/>
        <v>0</v>
      </c>
      <c r="U355" s="79">
        <f t="shared" si="62"/>
        <v>0</v>
      </c>
      <c r="V355" s="79">
        <f t="shared" si="63"/>
        <v>0</v>
      </c>
      <c r="W355" s="79">
        <f t="shared" si="64"/>
        <v>0</v>
      </c>
      <c r="X355" s="79">
        <f t="shared" si="65"/>
        <v>0</v>
      </c>
      <c r="Y355" s="79">
        <f t="shared" si="69"/>
        <v>173145.40000000002</v>
      </c>
    </row>
    <row r="356" spans="8:25">
      <c r="H356" s="78">
        <v>306</v>
      </c>
      <c r="I356" s="77">
        <f>IFERROR(EOMONTH(DATE($C$10,$C$9,1),306-1),"")</f>
        <v>54239</v>
      </c>
      <c r="J356" s="76">
        <f t="shared" si="66"/>
        <v>0</v>
      </c>
      <c r="K356" s="76">
        <f t="shared" si="56"/>
        <v>0</v>
      </c>
      <c r="L356" s="76">
        <f t="shared" si="57"/>
        <v>0</v>
      </c>
      <c r="M356" s="76">
        <f t="shared" si="58"/>
        <v>0</v>
      </c>
      <c r="N356" s="76">
        <f t="shared" si="59"/>
        <v>0</v>
      </c>
      <c r="O356" s="76">
        <f t="shared" si="60"/>
        <v>0</v>
      </c>
      <c r="P356" s="76">
        <f t="shared" si="67"/>
        <v>94193.249999999898</v>
      </c>
      <c r="Q356" s="78">
        <v>306</v>
      </c>
      <c r="R356" s="77">
        <f>IFERROR(EOMONTH(DATE($F$10,$F$9,1),306-1),"")</f>
        <v>54239</v>
      </c>
      <c r="S356" s="76">
        <f t="shared" si="68"/>
        <v>0</v>
      </c>
      <c r="T356" s="76">
        <f t="shared" si="61"/>
        <v>0</v>
      </c>
      <c r="U356" s="76">
        <f t="shared" si="62"/>
        <v>0</v>
      </c>
      <c r="V356" s="76">
        <f t="shared" si="63"/>
        <v>0</v>
      </c>
      <c r="W356" s="76">
        <f t="shared" si="64"/>
        <v>0</v>
      </c>
      <c r="X356" s="76">
        <f t="shared" si="65"/>
        <v>0</v>
      </c>
      <c r="Y356" s="76">
        <f t="shared" si="69"/>
        <v>173145.40000000002</v>
      </c>
    </row>
    <row r="357" spans="8:25">
      <c r="H357" s="84">
        <v>307</v>
      </c>
      <c r="I357" s="83">
        <f>IFERROR(EOMONTH(DATE($C$10,$C$9,1),307-1),"")</f>
        <v>54270</v>
      </c>
      <c r="J357" s="82">
        <f t="shared" si="66"/>
        <v>0</v>
      </c>
      <c r="K357" s="82">
        <f t="shared" si="56"/>
        <v>0</v>
      </c>
      <c r="L357" s="82">
        <f t="shared" si="57"/>
        <v>0</v>
      </c>
      <c r="M357" s="82">
        <f t="shared" si="58"/>
        <v>0</v>
      </c>
      <c r="N357" s="82">
        <f t="shared" si="59"/>
        <v>0</v>
      </c>
      <c r="O357" s="82">
        <f t="shared" si="60"/>
        <v>0</v>
      </c>
      <c r="P357" s="82">
        <f t="shared" si="67"/>
        <v>94193.249999999898</v>
      </c>
      <c r="Q357" s="81">
        <v>307</v>
      </c>
      <c r="R357" s="80">
        <f>IFERROR(EOMONTH(DATE($F$10,$F$9,1),307-1),"")</f>
        <v>54270</v>
      </c>
      <c r="S357" s="79">
        <f t="shared" si="68"/>
        <v>0</v>
      </c>
      <c r="T357" s="79">
        <f t="shared" si="61"/>
        <v>0</v>
      </c>
      <c r="U357" s="79">
        <f t="shared" si="62"/>
        <v>0</v>
      </c>
      <c r="V357" s="79">
        <f t="shared" si="63"/>
        <v>0</v>
      </c>
      <c r="W357" s="79">
        <f t="shared" si="64"/>
        <v>0</v>
      </c>
      <c r="X357" s="79">
        <f t="shared" si="65"/>
        <v>0</v>
      </c>
      <c r="Y357" s="79">
        <f t="shared" si="69"/>
        <v>173145.40000000002</v>
      </c>
    </row>
    <row r="358" spans="8:25">
      <c r="H358" s="78">
        <v>308</v>
      </c>
      <c r="I358" s="77">
        <f>IFERROR(EOMONTH(DATE($C$10,$C$9,1),308-1),"")</f>
        <v>54301</v>
      </c>
      <c r="J358" s="76">
        <f t="shared" si="66"/>
        <v>0</v>
      </c>
      <c r="K358" s="76">
        <f t="shared" si="56"/>
        <v>0</v>
      </c>
      <c r="L358" s="76">
        <f t="shared" si="57"/>
        <v>0</v>
      </c>
      <c r="M358" s="76">
        <f t="shared" si="58"/>
        <v>0</v>
      </c>
      <c r="N358" s="76">
        <f t="shared" si="59"/>
        <v>0</v>
      </c>
      <c r="O358" s="76">
        <f t="shared" si="60"/>
        <v>0</v>
      </c>
      <c r="P358" s="76">
        <f t="shared" si="67"/>
        <v>94193.249999999898</v>
      </c>
      <c r="Q358" s="78">
        <v>308</v>
      </c>
      <c r="R358" s="77">
        <f>IFERROR(EOMONTH(DATE($F$10,$F$9,1),308-1),"")</f>
        <v>54301</v>
      </c>
      <c r="S358" s="76">
        <f t="shared" si="68"/>
        <v>0</v>
      </c>
      <c r="T358" s="76">
        <f t="shared" si="61"/>
        <v>0</v>
      </c>
      <c r="U358" s="76">
        <f t="shared" si="62"/>
        <v>0</v>
      </c>
      <c r="V358" s="76">
        <f t="shared" si="63"/>
        <v>0</v>
      </c>
      <c r="W358" s="76">
        <f t="shared" si="64"/>
        <v>0</v>
      </c>
      <c r="X358" s="76">
        <f t="shared" si="65"/>
        <v>0</v>
      </c>
      <c r="Y358" s="76">
        <f t="shared" si="69"/>
        <v>173145.40000000002</v>
      </c>
    </row>
    <row r="359" spans="8:25">
      <c r="H359" s="84">
        <v>309</v>
      </c>
      <c r="I359" s="83">
        <f>IFERROR(EOMONTH(DATE($C$10,$C$9,1),309-1),"")</f>
        <v>54331</v>
      </c>
      <c r="J359" s="82">
        <f t="shared" si="66"/>
        <v>0</v>
      </c>
      <c r="K359" s="82">
        <f t="shared" si="56"/>
        <v>0</v>
      </c>
      <c r="L359" s="82">
        <f t="shared" si="57"/>
        <v>0</v>
      </c>
      <c r="M359" s="82">
        <f t="shared" si="58"/>
        <v>0</v>
      </c>
      <c r="N359" s="82">
        <f t="shared" si="59"/>
        <v>0</v>
      </c>
      <c r="O359" s="82">
        <f t="shared" si="60"/>
        <v>0</v>
      </c>
      <c r="P359" s="82">
        <f t="shared" si="67"/>
        <v>94193.249999999898</v>
      </c>
      <c r="Q359" s="81">
        <v>309</v>
      </c>
      <c r="R359" s="80">
        <f>IFERROR(EOMONTH(DATE($F$10,$F$9,1),309-1),"")</f>
        <v>54331</v>
      </c>
      <c r="S359" s="79">
        <f t="shared" si="68"/>
        <v>0</v>
      </c>
      <c r="T359" s="79">
        <f t="shared" si="61"/>
        <v>0</v>
      </c>
      <c r="U359" s="79">
        <f t="shared" si="62"/>
        <v>0</v>
      </c>
      <c r="V359" s="79">
        <f t="shared" si="63"/>
        <v>0</v>
      </c>
      <c r="W359" s="79">
        <f t="shared" si="64"/>
        <v>0</v>
      </c>
      <c r="X359" s="79">
        <f t="shared" si="65"/>
        <v>0</v>
      </c>
      <c r="Y359" s="79">
        <f t="shared" si="69"/>
        <v>173145.40000000002</v>
      </c>
    </row>
    <row r="360" spans="8:25">
      <c r="H360" s="78">
        <v>310</v>
      </c>
      <c r="I360" s="77">
        <f>IFERROR(EOMONTH(DATE($C$10,$C$9,1),310-1),"")</f>
        <v>54362</v>
      </c>
      <c r="J360" s="76">
        <f t="shared" si="66"/>
        <v>0</v>
      </c>
      <c r="K360" s="76">
        <f t="shared" si="56"/>
        <v>0</v>
      </c>
      <c r="L360" s="76">
        <f t="shared" si="57"/>
        <v>0</v>
      </c>
      <c r="M360" s="76">
        <f t="shared" si="58"/>
        <v>0</v>
      </c>
      <c r="N360" s="76">
        <f t="shared" si="59"/>
        <v>0</v>
      </c>
      <c r="O360" s="76">
        <f t="shared" si="60"/>
        <v>0</v>
      </c>
      <c r="P360" s="76">
        <f t="shared" si="67"/>
        <v>94193.249999999898</v>
      </c>
      <c r="Q360" s="78">
        <v>310</v>
      </c>
      <c r="R360" s="77">
        <f>IFERROR(EOMONTH(DATE($F$10,$F$9,1),310-1),"")</f>
        <v>54362</v>
      </c>
      <c r="S360" s="76">
        <f t="shared" si="68"/>
        <v>0</v>
      </c>
      <c r="T360" s="76">
        <f t="shared" si="61"/>
        <v>0</v>
      </c>
      <c r="U360" s="76">
        <f t="shared" si="62"/>
        <v>0</v>
      </c>
      <c r="V360" s="76">
        <f t="shared" si="63"/>
        <v>0</v>
      </c>
      <c r="W360" s="76">
        <f t="shared" si="64"/>
        <v>0</v>
      </c>
      <c r="X360" s="76">
        <f t="shared" si="65"/>
        <v>0</v>
      </c>
      <c r="Y360" s="76">
        <f t="shared" si="69"/>
        <v>173145.40000000002</v>
      </c>
    </row>
    <row r="361" spans="8:25">
      <c r="H361" s="84">
        <v>311</v>
      </c>
      <c r="I361" s="83">
        <f>IFERROR(EOMONTH(DATE($C$10,$C$9,1),311-1),"")</f>
        <v>54392</v>
      </c>
      <c r="J361" s="82">
        <f t="shared" si="66"/>
        <v>0</v>
      </c>
      <c r="K361" s="82">
        <f t="shared" si="56"/>
        <v>0</v>
      </c>
      <c r="L361" s="82">
        <f t="shared" si="57"/>
        <v>0</v>
      </c>
      <c r="M361" s="82">
        <f t="shared" si="58"/>
        <v>0</v>
      </c>
      <c r="N361" s="82">
        <f t="shared" si="59"/>
        <v>0</v>
      </c>
      <c r="O361" s="82">
        <f t="shared" si="60"/>
        <v>0</v>
      </c>
      <c r="P361" s="82">
        <f t="shared" si="67"/>
        <v>94193.249999999898</v>
      </c>
      <c r="Q361" s="81">
        <v>311</v>
      </c>
      <c r="R361" s="80">
        <f>IFERROR(EOMONTH(DATE($F$10,$F$9,1),311-1),"")</f>
        <v>54392</v>
      </c>
      <c r="S361" s="79">
        <f t="shared" si="68"/>
        <v>0</v>
      </c>
      <c r="T361" s="79">
        <f t="shared" si="61"/>
        <v>0</v>
      </c>
      <c r="U361" s="79">
        <f t="shared" si="62"/>
        <v>0</v>
      </c>
      <c r="V361" s="79">
        <f t="shared" si="63"/>
        <v>0</v>
      </c>
      <c r="W361" s="79">
        <f t="shared" si="64"/>
        <v>0</v>
      </c>
      <c r="X361" s="79">
        <f t="shared" si="65"/>
        <v>0</v>
      </c>
      <c r="Y361" s="79">
        <f t="shared" si="69"/>
        <v>173145.40000000002</v>
      </c>
    </row>
    <row r="362" spans="8:25">
      <c r="H362" s="78">
        <v>312</v>
      </c>
      <c r="I362" s="77">
        <f>IFERROR(EOMONTH(DATE($C$10,$C$9,1),312-1),"")</f>
        <v>54423</v>
      </c>
      <c r="J362" s="76">
        <f t="shared" si="66"/>
        <v>0</v>
      </c>
      <c r="K362" s="76">
        <f t="shared" si="56"/>
        <v>0</v>
      </c>
      <c r="L362" s="76">
        <f t="shared" si="57"/>
        <v>0</v>
      </c>
      <c r="M362" s="76">
        <f t="shared" si="58"/>
        <v>0</v>
      </c>
      <c r="N362" s="76">
        <f t="shared" si="59"/>
        <v>0</v>
      </c>
      <c r="O362" s="76">
        <f t="shared" si="60"/>
        <v>0</v>
      </c>
      <c r="P362" s="76">
        <f t="shared" si="67"/>
        <v>94193.249999999898</v>
      </c>
      <c r="Q362" s="78">
        <v>312</v>
      </c>
      <c r="R362" s="77">
        <f>IFERROR(EOMONTH(DATE($F$10,$F$9,1),312-1),"")</f>
        <v>54423</v>
      </c>
      <c r="S362" s="76">
        <f t="shared" si="68"/>
        <v>0</v>
      </c>
      <c r="T362" s="76">
        <f t="shared" si="61"/>
        <v>0</v>
      </c>
      <c r="U362" s="76">
        <f t="shared" si="62"/>
        <v>0</v>
      </c>
      <c r="V362" s="76">
        <f t="shared" si="63"/>
        <v>0</v>
      </c>
      <c r="W362" s="76">
        <f t="shared" si="64"/>
        <v>0</v>
      </c>
      <c r="X362" s="76">
        <f t="shared" si="65"/>
        <v>0</v>
      </c>
      <c r="Y362" s="76">
        <f t="shared" si="69"/>
        <v>173145.40000000002</v>
      </c>
    </row>
    <row r="363" spans="8:25">
      <c r="H363" s="84">
        <v>313</v>
      </c>
      <c r="I363" s="83">
        <f>IFERROR(EOMONTH(DATE($C$10,$C$9,1),313-1),"")</f>
        <v>54454</v>
      </c>
      <c r="J363" s="82">
        <f t="shared" si="66"/>
        <v>0</v>
      </c>
      <c r="K363" s="82">
        <f t="shared" si="56"/>
        <v>0</v>
      </c>
      <c r="L363" s="82">
        <f t="shared" si="57"/>
        <v>0</v>
      </c>
      <c r="M363" s="82">
        <f t="shared" si="58"/>
        <v>0</v>
      </c>
      <c r="N363" s="82">
        <f t="shared" si="59"/>
        <v>0</v>
      </c>
      <c r="O363" s="82">
        <f t="shared" si="60"/>
        <v>0</v>
      </c>
      <c r="P363" s="82">
        <f t="shared" si="67"/>
        <v>94193.249999999898</v>
      </c>
      <c r="Q363" s="81">
        <v>313</v>
      </c>
      <c r="R363" s="80">
        <f>IFERROR(EOMONTH(DATE($F$10,$F$9,1),313-1),"")</f>
        <v>54454</v>
      </c>
      <c r="S363" s="79">
        <f t="shared" si="68"/>
        <v>0</v>
      </c>
      <c r="T363" s="79">
        <f t="shared" si="61"/>
        <v>0</v>
      </c>
      <c r="U363" s="79">
        <f t="shared" si="62"/>
        <v>0</v>
      </c>
      <c r="V363" s="79">
        <f t="shared" si="63"/>
        <v>0</v>
      </c>
      <c r="W363" s="79">
        <f t="shared" si="64"/>
        <v>0</v>
      </c>
      <c r="X363" s="79">
        <f t="shared" si="65"/>
        <v>0</v>
      </c>
      <c r="Y363" s="79">
        <f t="shared" si="69"/>
        <v>173145.40000000002</v>
      </c>
    </row>
    <row r="364" spans="8:25">
      <c r="H364" s="78">
        <v>314</v>
      </c>
      <c r="I364" s="77">
        <f>IFERROR(EOMONTH(DATE($C$10,$C$9,1),314-1),"")</f>
        <v>54482</v>
      </c>
      <c r="J364" s="76">
        <f t="shared" si="66"/>
        <v>0</v>
      </c>
      <c r="K364" s="76">
        <f t="shared" si="56"/>
        <v>0</v>
      </c>
      <c r="L364" s="76">
        <f t="shared" si="57"/>
        <v>0</v>
      </c>
      <c r="M364" s="76">
        <f t="shared" si="58"/>
        <v>0</v>
      </c>
      <c r="N364" s="76">
        <f t="shared" si="59"/>
        <v>0</v>
      </c>
      <c r="O364" s="76">
        <f t="shared" si="60"/>
        <v>0</v>
      </c>
      <c r="P364" s="76">
        <f t="shared" si="67"/>
        <v>94193.249999999898</v>
      </c>
      <c r="Q364" s="78">
        <v>314</v>
      </c>
      <c r="R364" s="77">
        <f>IFERROR(EOMONTH(DATE($F$10,$F$9,1),314-1),"")</f>
        <v>54482</v>
      </c>
      <c r="S364" s="76">
        <f t="shared" si="68"/>
        <v>0</v>
      </c>
      <c r="T364" s="76">
        <f t="shared" si="61"/>
        <v>0</v>
      </c>
      <c r="U364" s="76">
        <f t="shared" si="62"/>
        <v>0</v>
      </c>
      <c r="V364" s="76">
        <f t="shared" si="63"/>
        <v>0</v>
      </c>
      <c r="W364" s="76">
        <f t="shared" si="64"/>
        <v>0</v>
      </c>
      <c r="X364" s="76">
        <f t="shared" si="65"/>
        <v>0</v>
      </c>
      <c r="Y364" s="76">
        <f t="shared" si="69"/>
        <v>173145.40000000002</v>
      </c>
    </row>
    <row r="365" spans="8:25">
      <c r="H365" s="84">
        <v>315</v>
      </c>
      <c r="I365" s="83">
        <f>IFERROR(EOMONTH(DATE($C$10,$C$9,1),315-1),"")</f>
        <v>54513</v>
      </c>
      <c r="J365" s="82">
        <f t="shared" si="66"/>
        <v>0</v>
      </c>
      <c r="K365" s="82">
        <f t="shared" si="56"/>
        <v>0</v>
      </c>
      <c r="L365" s="82">
        <f t="shared" si="57"/>
        <v>0</v>
      </c>
      <c r="M365" s="82">
        <f t="shared" si="58"/>
        <v>0</v>
      </c>
      <c r="N365" s="82">
        <f t="shared" si="59"/>
        <v>0</v>
      </c>
      <c r="O365" s="82">
        <f t="shared" si="60"/>
        <v>0</v>
      </c>
      <c r="P365" s="82">
        <f t="shared" si="67"/>
        <v>94193.249999999898</v>
      </c>
      <c r="Q365" s="81">
        <v>315</v>
      </c>
      <c r="R365" s="80">
        <f>IFERROR(EOMONTH(DATE($F$10,$F$9,1),315-1),"")</f>
        <v>54513</v>
      </c>
      <c r="S365" s="79">
        <f t="shared" si="68"/>
        <v>0</v>
      </c>
      <c r="T365" s="79">
        <f t="shared" si="61"/>
        <v>0</v>
      </c>
      <c r="U365" s="79">
        <f t="shared" si="62"/>
        <v>0</v>
      </c>
      <c r="V365" s="79">
        <f t="shared" si="63"/>
        <v>0</v>
      </c>
      <c r="W365" s="79">
        <f t="shared" si="64"/>
        <v>0</v>
      </c>
      <c r="X365" s="79">
        <f t="shared" si="65"/>
        <v>0</v>
      </c>
      <c r="Y365" s="79">
        <f t="shared" si="69"/>
        <v>173145.40000000002</v>
      </c>
    </row>
    <row r="366" spans="8:25">
      <c r="H366" s="78">
        <v>316</v>
      </c>
      <c r="I366" s="77">
        <f>IFERROR(EOMONTH(DATE($C$10,$C$9,1),316-1),"")</f>
        <v>54543</v>
      </c>
      <c r="J366" s="76">
        <f t="shared" si="66"/>
        <v>0</v>
      </c>
      <c r="K366" s="76">
        <f t="shared" si="56"/>
        <v>0</v>
      </c>
      <c r="L366" s="76">
        <f t="shared" si="57"/>
        <v>0</v>
      </c>
      <c r="M366" s="76">
        <f t="shared" si="58"/>
        <v>0</v>
      </c>
      <c r="N366" s="76">
        <f t="shared" si="59"/>
        <v>0</v>
      </c>
      <c r="O366" s="76">
        <f t="shared" si="60"/>
        <v>0</v>
      </c>
      <c r="P366" s="76">
        <f t="shared" si="67"/>
        <v>94193.249999999898</v>
      </c>
      <c r="Q366" s="78">
        <v>316</v>
      </c>
      <c r="R366" s="77">
        <f>IFERROR(EOMONTH(DATE($F$10,$F$9,1),316-1),"")</f>
        <v>54543</v>
      </c>
      <c r="S366" s="76">
        <f t="shared" si="68"/>
        <v>0</v>
      </c>
      <c r="T366" s="76">
        <f t="shared" si="61"/>
        <v>0</v>
      </c>
      <c r="U366" s="76">
        <f t="shared" si="62"/>
        <v>0</v>
      </c>
      <c r="V366" s="76">
        <f t="shared" si="63"/>
        <v>0</v>
      </c>
      <c r="W366" s="76">
        <f t="shared" si="64"/>
        <v>0</v>
      </c>
      <c r="X366" s="76">
        <f t="shared" si="65"/>
        <v>0</v>
      </c>
      <c r="Y366" s="76">
        <f t="shared" si="69"/>
        <v>173145.40000000002</v>
      </c>
    </row>
    <row r="367" spans="8:25">
      <c r="H367" s="84">
        <v>317</v>
      </c>
      <c r="I367" s="83">
        <f>IFERROR(EOMONTH(DATE($C$10,$C$9,1),317-1),"")</f>
        <v>54574</v>
      </c>
      <c r="J367" s="82">
        <f t="shared" si="66"/>
        <v>0</v>
      </c>
      <c r="K367" s="82">
        <f t="shared" si="56"/>
        <v>0</v>
      </c>
      <c r="L367" s="82">
        <f t="shared" si="57"/>
        <v>0</v>
      </c>
      <c r="M367" s="82">
        <f t="shared" si="58"/>
        <v>0</v>
      </c>
      <c r="N367" s="82">
        <f t="shared" si="59"/>
        <v>0</v>
      </c>
      <c r="O367" s="82">
        <f t="shared" si="60"/>
        <v>0</v>
      </c>
      <c r="P367" s="82">
        <f t="shared" si="67"/>
        <v>94193.249999999898</v>
      </c>
      <c r="Q367" s="81">
        <v>317</v>
      </c>
      <c r="R367" s="80">
        <f>IFERROR(EOMONTH(DATE($F$10,$F$9,1),317-1),"")</f>
        <v>54574</v>
      </c>
      <c r="S367" s="79">
        <f t="shared" si="68"/>
        <v>0</v>
      </c>
      <c r="T367" s="79">
        <f t="shared" si="61"/>
        <v>0</v>
      </c>
      <c r="U367" s="79">
        <f t="shared" si="62"/>
        <v>0</v>
      </c>
      <c r="V367" s="79">
        <f t="shared" si="63"/>
        <v>0</v>
      </c>
      <c r="W367" s="79">
        <f t="shared" si="64"/>
        <v>0</v>
      </c>
      <c r="X367" s="79">
        <f t="shared" si="65"/>
        <v>0</v>
      </c>
      <c r="Y367" s="79">
        <f t="shared" si="69"/>
        <v>173145.40000000002</v>
      </c>
    </row>
    <row r="368" spans="8:25">
      <c r="H368" s="78">
        <v>318</v>
      </c>
      <c r="I368" s="77">
        <f>IFERROR(EOMONTH(DATE($C$10,$C$9,1),318-1),"")</f>
        <v>54604</v>
      </c>
      <c r="J368" s="76">
        <f t="shared" si="66"/>
        <v>0</v>
      </c>
      <c r="K368" s="76">
        <f t="shared" si="56"/>
        <v>0</v>
      </c>
      <c r="L368" s="76">
        <f t="shared" si="57"/>
        <v>0</v>
      </c>
      <c r="M368" s="76">
        <f t="shared" si="58"/>
        <v>0</v>
      </c>
      <c r="N368" s="76">
        <f t="shared" si="59"/>
        <v>0</v>
      </c>
      <c r="O368" s="76">
        <f t="shared" si="60"/>
        <v>0</v>
      </c>
      <c r="P368" s="76">
        <f t="shared" si="67"/>
        <v>94193.249999999898</v>
      </c>
      <c r="Q368" s="78">
        <v>318</v>
      </c>
      <c r="R368" s="77">
        <f>IFERROR(EOMONTH(DATE($F$10,$F$9,1),318-1),"")</f>
        <v>54604</v>
      </c>
      <c r="S368" s="76">
        <f t="shared" si="68"/>
        <v>0</v>
      </c>
      <c r="T368" s="76">
        <f t="shared" si="61"/>
        <v>0</v>
      </c>
      <c r="U368" s="76">
        <f t="shared" si="62"/>
        <v>0</v>
      </c>
      <c r="V368" s="76">
        <f t="shared" si="63"/>
        <v>0</v>
      </c>
      <c r="W368" s="76">
        <f t="shared" si="64"/>
        <v>0</v>
      </c>
      <c r="X368" s="76">
        <f t="shared" si="65"/>
        <v>0</v>
      </c>
      <c r="Y368" s="76">
        <f t="shared" si="69"/>
        <v>173145.40000000002</v>
      </c>
    </row>
    <row r="369" spans="8:25">
      <c r="H369" s="84">
        <v>319</v>
      </c>
      <c r="I369" s="83">
        <f>IFERROR(EOMONTH(DATE($C$10,$C$9,1),319-1),"")</f>
        <v>54635</v>
      </c>
      <c r="J369" s="82">
        <f t="shared" si="66"/>
        <v>0</v>
      </c>
      <c r="K369" s="82">
        <f t="shared" si="56"/>
        <v>0</v>
      </c>
      <c r="L369" s="82">
        <f t="shared" si="57"/>
        <v>0</v>
      </c>
      <c r="M369" s="82">
        <f t="shared" si="58"/>
        <v>0</v>
      </c>
      <c r="N369" s="82">
        <f t="shared" si="59"/>
        <v>0</v>
      </c>
      <c r="O369" s="82">
        <f t="shared" si="60"/>
        <v>0</v>
      </c>
      <c r="P369" s="82">
        <f t="shared" si="67"/>
        <v>94193.249999999898</v>
      </c>
      <c r="Q369" s="81">
        <v>319</v>
      </c>
      <c r="R369" s="80">
        <f>IFERROR(EOMONTH(DATE($F$10,$F$9,1),319-1),"")</f>
        <v>54635</v>
      </c>
      <c r="S369" s="79">
        <f t="shared" si="68"/>
        <v>0</v>
      </c>
      <c r="T369" s="79">
        <f t="shared" si="61"/>
        <v>0</v>
      </c>
      <c r="U369" s="79">
        <f t="shared" si="62"/>
        <v>0</v>
      </c>
      <c r="V369" s="79">
        <f t="shared" si="63"/>
        <v>0</v>
      </c>
      <c r="W369" s="79">
        <f t="shared" si="64"/>
        <v>0</v>
      </c>
      <c r="X369" s="79">
        <f t="shared" si="65"/>
        <v>0</v>
      </c>
      <c r="Y369" s="79">
        <f t="shared" si="69"/>
        <v>173145.40000000002</v>
      </c>
    </row>
    <row r="370" spans="8:25">
      <c r="H370" s="78">
        <v>320</v>
      </c>
      <c r="I370" s="77">
        <f>IFERROR(EOMONTH(DATE($C$10,$C$9,1),320-1),"")</f>
        <v>54666</v>
      </c>
      <c r="J370" s="76">
        <f t="shared" si="66"/>
        <v>0</v>
      </c>
      <c r="K370" s="76">
        <f t="shared" si="56"/>
        <v>0</v>
      </c>
      <c r="L370" s="76">
        <f t="shared" si="57"/>
        <v>0</v>
      </c>
      <c r="M370" s="76">
        <f t="shared" si="58"/>
        <v>0</v>
      </c>
      <c r="N370" s="76">
        <f t="shared" si="59"/>
        <v>0</v>
      </c>
      <c r="O370" s="76">
        <f t="shared" si="60"/>
        <v>0</v>
      </c>
      <c r="P370" s="76">
        <f t="shared" si="67"/>
        <v>94193.249999999898</v>
      </c>
      <c r="Q370" s="78">
        <v>320</v>
      </c>
      <c r="R370" s="77">
        <f>IFERROR(EOMONTH(DATE($F$10,$F$9,1),320-1),"")</f>
        <v>54666</v>
      </c>
      <c r="S370" s="76">
        <f t="shared" si="68"/>
        <v>0</v>
      </c>
      <c r="T370" s="76">
        <f t="shared" si="61"/>
        <v>0</v>
      </c>
      <c r="U370" s="76">
        <f t="shared" si="62"/>
        <v>0</v>
      </c>
      <c r="V370" s="76">
        <f t="shared" si="63"/>
        <v>0</v>
      </c>
      <c r="W370" s="76">
        <f t="shared" si="64"/>
        <v>0</v>
      </c>
      <c r="X370" s="76">
        <f t="shared" si="65"/>
        <v>0</v>
      </c>
      <c r="Y370" s="76">
        <f t="shared" si="69"/>
        <v>173145.40000000002</v>
      </c>
    </row>
    <row r="371" spans="8:25">
      <c r="H371" s="84">
        <v>321</v>
      </c>
      <c r="I371" s="83">
        <f>IFERROR(EOMONTH(DATE($C$10,$C$9,1),321-1),"")</f>
        <v>54696</v>
      </c>
      <c r="J371" s="82">
        <f t="shared" si="66"/>
        <v>0</v>
      </c>
      <c r="K371" s="82">
        <f t="shared" ref="K371:K434" si="70">IF(J371&lt;=0,0,ROUND(J371*$C$7/12,2))</f>
        <v>0</v>
      </c>
      <c r="L371" s="82">
        <f t="shared" ref="L371:L434" si="71">IF(J371&lt;=0,0,IF(UPPER(TRIM($C$11))="INTEREST ONLY",0,MAX(0,MIN(J371,$C$17-K371))))</f>
        <v>0</v>
      </c>
      <c r="M371" s="82">
        <f t="shared" ref="M371:M434" si="72">IF(J371&lt;=0,0,MIN(J371-L371,$C$12+IF(H371=$C$14,$C$13,0)))</f>
        <v>0</v>
      </c>
      <c r="N371" s="82">
        <f t="shared" ref="N371:N434" si="73">K371+L371+M371</f>
        <v>0</v>
      </c>
      <c r="O371" s="82">
        <f t="shared" ref="O371:O434" si="74">MAX(0,J371-L371-M371)</f>
        <v>0</v>
      </c>
      <c r="P371" s="82">
        <f t="shared" si="67"/>
        <v>94193.249999999898</v>
      </c>
      <c r="Q371" s="81">
        <v>321</v>
      </c>
      <c r="R371" s="80">
        <f>IFERROR(EOMONTH(DATE($F$10,$F$9,1),321-1),"")</f>
        <v>54696</v>
      </c>
      <c r="S371" s="79">
        <f t="shared" si="68"/>
        <v>0</v>
      </c>
      <c r="T371" s="79">
        <f t="shared" ref="T371:T434" si="75">IF(S371&lt;=0,0,ROUND(S371*$F$7/12,2))</f>
        <v>0</v>
      </c>
      <c r="U371" s="79">
        <f t="shared" ref="U371:U434" si="76">IF(S371&lt;=0,0,IF(UPPER(TRIM($F$11))="INTEREST ONLY",0,MAX(0,MIN(S371,$F$17-T371))))</f>
        <v>0</v>
      </c>
      <c r="V371" s="79">
        <f t="shared" ref="V371:V434" si="77">IF(S371&lt;=0,0,MIN(S371-U371,$F$12+IF(Q371=$F$14,$F$13,0)))</f>
        <v>0</v>
      </c>
      <c r="W371" s="79">
        <f t="shared" ref="W371:W434" si="78">T371+U371+V371</f>
        <v>0</v>
      </c>
      <c r="X371" s="79">
        <f t="shared" ref="X371:X434" si="79">MAX(0,S371-U371-V371)</f>
        <v>0</v>
      </c>
      <c r="Y371" s="79">
        <f t="shared" si="69"/>
        <v>173145.40000000002</v>
      </c>
    </row>
    <row r="372" spans="8:25">
      <c r="H372" s="78">
        <v>322</v>
      </c>
      <c r="I372" s="77">
        <f>IFERROR(EOMONTH(DATE($C$10,$C$9,1),322-1),"")</f>
        <v>54727</v>
      </c>
      <c r="J372" s="76">
        <f t="shared" ref="J372:J435" si="80">IF(O371&lt;=0,0,O371)</f>
        <v>0</v>
      </c>
      <c r="K372" s="76">
        <f t="shared" si="70"/>
        <v>0</v>
      </c>
      <c r="L372" s="76">
        <f t="shared" si="71"/>
        <v>0</v>
      </c>
      <c r="M372" s="76">
        <f t="shared" si="72"/>
        <v>0</v>
      </c>
      <c r="N372" s="76">
        <f t="shared" si="73"/>
        <v>0</v>
      </c>
      <c r="O372" s="76">
        <f t="shared" si="74"/>
        <v>0</v>
      </c>
      <c r="P372" s="76">
        <f t="shared" ref="P372:P435" si="81">P371+K372</f>
        <v>94193.249999999898</v>
      </c>
      <c r="Q372" s="78">
        <v>322</v>
      </c>
      <c r="R372" s="77">
        <f>IFERROR(EOMONTH(DATE($F$10,$F$9,1),322-1),"")</f>
        <v>54727</v>
      </c>
      <c r="S372" s="76">
        <f t="shared" ref="S372:S435" si="82">IF(X371&lt;=0,0,X371)</f>
        <v>0</v>
      </c>
      <c r="T372" s="76">
        <f t="shared" si="75"/>
        <v>0</v>
      </c>
      <c r="U372" s="76">
        <f t="shared" si="76"/>
        <v>0</v>
      </c>
      <c r="V372" s="76">
        <f t="shared" si="77"/>
        <v>0</v>
      </c>
      <c r="W372" s="76">
        <f t="shared" si="78"/>
        <v>0</v>
      </c>
      <c r="X372" s="76">
        <f t="shared" si="79"/>
        <v>0</v>
      </c>
      <c r="Y372" s="76">
        <f t="shared" ref="Y372:Y435" si="83">Y371+T372</f>
        <v>173145.40000000002</v>
      </c>
    </row>
    <row r="373" spans="8:25">
      <c r="H373" s="84">
        <v>323</v>
      </c>
      <c r="I373" s="83">
        <f>IFERROR(EOMONTH(DATE($C$10,$C$9,1),323-1),"")</f>
        <v>54757</v>
      </c>
      <c r="J373" s="82">
        <f t="shared" si="80"/>
        <v>0</v>
      </c>
      <c r="K373" s="82">
        <f t="shared" si="70"/>
        <v>0</v>
      </c>
      <c r="L373" s="82">
        <f t="shared" si="71"/>
        <v>0</v>
      </c>
      <c r="M373" s="82">
        <f t="shared" si="72"/>
        <v>0</v>
      </c>
      <c r="N373" s="82">
        <f t="shared" si="73"/>
        <v>0</v>
      </c>
      <c r="O373" s="82">
        <f t="shared" si="74"/>
        <v>0</v>
      </c>
      <c r="P373" s="82">
        <f t="shared" si="81"/>
        <v>94193.249999999898</v>
      </c>
      <c r="Q373" s="81">
        <v>323</v>
      </c>
      <c r="R373" s="80">
        <f>IFERROR(EOMONTH(DATE($F$10,$F$9,1),323-1),"")</f>
        <v>54757</v>
      </c>
      <c r="S373" s="79">
        <f t="shared" si="82"/>
        <v>0</v>
      </c>
      <c r="T373" s="79">
        <f t="shared" si="75"/>
        <v>0</v>
      </c>
      <c r="U373" s="79">
        <f t="shared" si="76"/>
        <v>0</v>
      </c>
      <c r="V373" s="79">
        <f t="shared" si="77"/>
        <v>0</v>
      </c>
      <c r="W373" s="79">
        <f t="shared" si="78"/>
        <v>0</v>
      </c>
      <c r="X373" s="79">
        <f t="shared" si="79"/>
        <v>0</v>
      </c>
      <c r="Y373" s="79">
        <f t="shared" si="83"/>
        <v>173145.40000000002</v>
      </c>
    </row>
    <row r="374" spans="8:25">
      <c r="H374" s="78">
        <v>324</v>
      </c>
      <c r="I374" s="77">
        <f>IFERROR(EOMONTH(DATE($C$10,$C$9,1),324-1),"")</f>
        <v>54788</v>
      </c>
      <c r="J374" s="76">
        <f t="shared" si="80"/>
        <v>0</v>
      </c>
      <c r="K374" s="76">
        <f t="shared" si="70"/>
        <v>0</v>
      </c>
      <c r="L374" s="76">
        <f t="shared" si="71"/>
        <v>0</v>
      </c>
      <c r="M374" s="76">
        <f t="shared" si="72"/>
        <v>0</v>
      </c>
      <c r="N374" s="76">
        <f t="shared" si="73"/>
        <v>0</v>
      </c>
      <c r="O374" s="76">
        <f t="shared" si="74"/>
        <v>0</v>
      </c>
      <c r="P374" s="76">
        <f t="shared" si="81"/>
        <v>94193.249999999898</v>
      </c>
      <c r="Q374" s="78">
        <v>324</v>
      </c>
      <c r="R374" s="77">
        <f>IFERROR(EOMONTH(DATE($F$10,$F$9,1),324-1),"")</f>
        <v>54788</v>
      </c>
      <c r="S374" s="76">
        <f t="shared" si="82"/>
        <v>0</v>
      </c>
      <c r="T374" s="76">
        <f t="shared" si="75"/>
        <v>0</v>
      </c>
      <c r="U374" s="76">
        <f t="shared" si="76"/>
        <v>0</v>
      </c>
      <c r="V374" s="76">
        <f t="shared" si="77"/>
        <v>0</v>
      </c>
      <c r="W374" s="76">
        <f t="shared" si="78"/>
        <v>0</v>
      </c>
      <c r="X374" s="76">
        <f t="shared" si="79"/>
        <v>0</v>
      </c>
      <c r="Y374" s="76">
        <f t="shared" si="83"/>
        <v>173145.40000000002</v>
      </c>
    </row>
    <row r="375" spans="8:25">
      <c r="H375" s="84">
        <v>325</v>
      </c>
      <c r="I375" s="83">
        <f>IFERROR(EOMONTH(DATE($C$10,$C$9,1),325-1),"")</f>
        <v>54819</v>
      </c>
      <c r="J375" s="82">
        <f t="shared" si="80"/>
        <v>0</v>
      </c>
      <c r="K375" s="82">
        <f t="shared" si="70"/>
        <v>0</v>
      </c>
      <c r="L375" s="82">
        <f t="shared" si="71"/>
        <v>0</v>
      </c>
      <c r="M375" s="82">
        <f t="shared" si="72"/>
        <v>0</v>
      </c>
      <c r="N375" s="82">
        <f t="shared" si="73"/>
        <v>0</v>
      </c>
      <c r="O375" s="82">
        <f t="shared" si="74"/>
        <v>0</v>
      </c>
      <c r="P375" s="82">
        <f t="shared" si="81"/>
        <v>94193.249999999898</v>
      </c>
      <c r="Q375" s="81">
        <v>325</v>
      </c>
      <c r="R375" s="80">
        <f>IFERROR(EOMONTH(DATE($F$10,$F$9,1),325-1),"")</f>
        <v>54819</v>
      </c>
      <c r="S375" s="79">
        <f t="shared" si="82"/>
        <v>0</v>
      </c>
      <c r="T375" s="79">
        <f t="shared" si="75"/>
        <v>0</v>
      </c>
      <c r="U375" s="79">
        <f t="shared" si="76"/>
        <v>0</v>
      </c>
      <c r="V375" s="79">
        <f t="shared" si="77"/>
        <v>0</v>
      </c>
      <c r="W375" s="79">
        <f t="shared" si="78"/>
        <v>0</v>
      </c>
      <c r="X375" s="79">
        <f t="shared" si="79"/>
        <v>0</v>
      </c>
      <c r="Y375" s="79">
        <f t="shared" si="83"/>
        <v>173145.40000000002</v>
      </c>
    </row>
    <row r="376" spans="8:25">
      <c r="H376" s="78">
        <v>326</v>
      </c>
      <c r="I376" s="77">
        <f>IFERROR(EOMONTH(DATE($C$10,$C$9,1),326-1),"")</f>
        <v>54847</v>
      </c>
      <c r="J376" s="76">
        <f t="shared" si="80"/>
        <v>0</v>
      </c>
      <c r="K376" s="76">
        <f t="shared" si="70"/>
        <v>0</v>
      </c>
      <c r="L376" s="76">
        <f t="shared" si="71"/>
        <v>0</v>
      </c>
      <c r="M376" s="76">
        <f t="shared" si="72"/>
        <v>0</v>
      </c>
      <c r="N376" s="76">
        <f t="shared" si="73"/>
        <v>0</v>
      </c>
      <c r="O376" s="76">
        <f t="shared" si="74"/>
        <v>0</v>
      </c>
      <c r="P376" s="76">
        <f t="shared" si="81"/>
        <v>94193.249999999898</v>
      </c>
      <c r="Q376" s="78">
        <v>326</v>
      </c>
      <c r="R376" s="77">
        <f>IFERROR(EOMONTH(DATE($F$10,$F$9,1),326-1),"")</f>
        <v>54847</v>
      </c>
      <c r="S376" s="76">
        <f t="shared" si="82"/>
        <v>0</v>
      </c>
      <c r="T376" s="76">
        <f t="shared" si="75"/>
        <v>0</v>
      </c>
      <c r="U376" s="76">
        <f t="shared" si="76"/>
        <v>0</v>
      </c>
      <c r="V376" s="76">
        <f t="shared" si="77"/>
        <v>0</v>
      </c>
      <c r="W376" s="76">
        <f t="shared" si="78"/>
        <v>0</v>
      </c>
      <c r="X376" s="76">
        <f t="shared" si="79"/>
        <v>0</v>
      </c>
      <c r="Y376" s="76">
        <f t="shared" si="83"/>
        <v>173145.40000000002</v>
      </c>
    </row>
    <row r="377" spans="8:25">
      <c r="H377" s="84">
        <v>327</v>
      </c>
      <c r="I377" s="83">
        <f>IFERROR(EOMONTH(DATE($C$10,$C$9,1),327-1),"")</f>
        <v>54878</v>
      </c>
      <c r="J377" s="82">
        <f t="shared" si="80"/>
        <v>0</v>
      </c>
      <c r="K377" s="82">
        <f t="shared" si="70"/>
        <v>0</v>
      </c>
      <c r="L377" s="82">
        <f t="shared" si="71"/>
        <v>0</v>
      </c>
      <c r="M377" s="82">
        <f t="shared" si="72"/>
        <v>0</v>
      </c>
      <c r="N377" s="82">
        <f t="shared" si="73"/>
        <v>0</v>
      </c>
      <c r="O377" s="82">
        <f t="shared" si="74"/>
        <v>0</v>
      </c>
      <c r="P377" s="82">
        <f t="shared" si="81"/>
        <v>94193.249999999898</v>
      </c>
      <c r="Q377" s="81">
        <v>327</v>
      </c>
      <c r="R377" s="80">
        <f>IFERROR(EOMONTH(DATE($F$10,$F$9,1),327-1),"")</f>
        <v>54878</v>
      </c>
      <c r="S377" s="79">
        <f t="shared" si="82"/>
        <v>0</v>
      </c>
      <c r="T377" s="79">
        <f t="shared" si="75"/>
        <v>0</v>
      </c>
      <c r="U377" s="79">
        <f t="shared" si="76"/>
        <v>0</v>
      </c>
      <c r="V377" s="79">
        <f t="shared" si="77"/>
        <v>0</v>
      </c>
      <c r="W377" s="79">
        <f t="shared" si="78"/>
        <v>0</v>
      </c>
      <c r="X377" s="79">
        <f t="shared" si="79"/>
        <v>0</v>
      </c>
      <c r="Y377" s="79">
        <f t="shared" si="83"/>
        <v>173145.40000000002</v>
      </c>
    </row>
    <row r="378" spans="8:25">
      <c r="H378" s="78">
        <v>328</v>
      </c>
      <c r="I378" s="77">
        <f>IFERROR(EOMONTH(DATE($C$10,$C$9,1),328-1),"")</f>
        <v>54908</v>
      </c>
      <c r="J378" s="76">
        <f t="shared" si="80"/>
        <v>0</v>
      </c>
      <c r="K378" s="76">
        <f t="shared" si="70"/>
        <v>0</v>
      </c>
      <c r="L378" s="76">
        <f t="shared" si="71"/>
        <v>0</v>
      </c>
      <c r="M378" s="76">
        <f t="shared" si="72"/>
        <v>0</v>
      </c>
      <c r="N378" s="76">
        <f t="shared" si="73"/>
        <v>0</v>
      </c>
      <c r="O378" s="76">
        <f t="shared" si="74"/>
        <v>0</v>
      </c>
      <c r="P378" s="76">
        <f t="shared" si="81"/>
        <v>94193.249999999898</v>
      </c>
      <c r="Q378" s="78">
        <v>328</v>
      </c>
      <c r="R378" s="77">
        <f>IFERROR(EOMONTH(DATE($F$10,$F$9,1),328-1),"")</f>
        <v>54908</v>
      </c>
      <c r="S378" s="76">
        <f t="shared" si="82"/>
        <v>0</v>
      </c>
      <c r="T378" s="76">
        <f t="shared" si="75"/>
        <v>0</v>
      </c>
      <c r="U378" s="76">
        <f t="shared" si="76"/>
        <v>0</v>
      </c>
      <c r="V378" s="76">
        <f t="shared" si="77"/>
        <v>0</v>
      </c>
      <c r="W378" s="76">
        <f t="shared" si="78"/>
        <v>0</v>
      </c>
      <c r="X378" s="76">
        <f t="shared" si="79"/>
        <v>0</v>
      </c>
      <c r="Y378" s="76">
        <f t="shared" si="83"/>
        <v>173145.40000000002</v>
      </c>
    </row>
    <row r="379" spans="8:25">
      <c r="H379" s="84">
        <v>329</v>
      </c>
      <c r="I379" s="83">
        <f>IFERROR(EOMONTH(DATE($C$10,$C$9,1),329-1),"")</f>
        <v>54939</v>
      </c>
      <c r="J379" s="82">
        <f t="shared" si="80"/>
        <v>0</v>
      </c>
      <c r="K379" s="82">
        <f t="shared" si="70"/>
        <v>0</v>
      </c>
      <c r="L379" s="82">
        <f t="shared" si="71"/>
        <v>0</v>
      </c>
      <c r="M379" s="82">
        <f t="shared" si="72"/>
        <v>0</v>
      </c>
      <c r="N379" s="82">
        <f t="shared" si="73"/>
        <v>0</v>
      </c>
      <c r="O379" s="82">
        <f t="shared" si="74"/>
        <v>0</v>
      </c>
      <c r="P379" s="82">
        <f t="shared" si="81"/>
        <v>94193.249999999898</v>
      </c>
      <c r="Q379" s="81">
        <v>329</v>
      </c>
      <c r="R379" s="80">
        <f>IFERROR(EOMONTH(DATE($F$10,$F$9,1),329-1),"")</f>
        <v>54939</v>
      </c>
      <c r="S379" s="79">
        <f t="shared" si="82"/>
        <v>0</v>
      </c>
      <c r="T379" s="79">
        <f t="shared" si="75"/>
        <v>0</v>
      </c>
      <c r="U379" s="79">
        <f t="shared" si="76"/>
        <v>0</v>
      </c>
      <c r="V379" s="79">
        <f t="shared" si="77"/>
        <v>0</v>
      </c>
      <c r="W379" s="79">
        <f t="shared" si="78"/>
        <v>0</v>
      </c>
      <c r="X379" s="79">
        <f t="shared" si="79"/>
        <v>0</v>
      </c>
      <c r="Y379" s="79">
        <f t="shared" si="83"/>
        <v>173145.40000000002</v>
      </c>
    </row>
    <row r="380" spans="8:25">
      <c r="H380" s="78">
        <v>330</v>
      </c>
      <c r="I380" s="77">
        <f>IFERROR(EOMONTH(DATE($C$10,$C$9,1),330-1),"")</f>
        <v>54969</v>
      </c>
      <c r="J380" s="76">
        <f t="shared" si="80"/>
        <v>0</v>
      </c>
      <c r="K380" s="76">
        <f t="shared" si="70"/>
        <v>0</v>
      </c>
      <c r="L380" s="76">
        <f t="shared" si="71"/>
        <v>0</v>
      </c>
      <c r="M380" s="76">
        <f t="shared" si="72"/>
        <v>0</v>
      </c>
      <c r="N380" s="76">
        <f t="shared" si="73"/>
        <v>0</v>
      </c>
      <c r="O380" s="76">
        <f t="shared" si="74"/>
        <v>0</v>
      </c>
      <c r="P380" s="76">
        <f t="shared" si="81"/>
        <v>94193.249999999898</v>
      </c>
      <c r="Q380" s="78">
        <v>330</v>
      </c>
      <c r="R380" s="77">
        <f>IFERROR(EOMONTH(DATE($F$10,$F$9,1),330-1),"")</f>
        <v>54969</v>
      </c>
      <c r="S380" s="76">
        <f t="shared" si="82"/>
        <v>0</v>
      </c>
      <c r="T380" s="76">
        <f t="shared" si="75"/>
        <v>0</v>
      </c>
      <c r="U380" s="76">
        <f t="shared" si="76"/>
        <v>0</v>
      </c>
      <c r="V380" s="76">
        <f t="shared" si="77"/>
        <v>0</v>
      </c>
      <c r="W380" s="76">
        <f t="shared" si="78"/>
        <v>0</v>
      </c>
      <c r="X380" s="76">
        <f t="shared" si="79"/>
        <v>0</v>
      </c>
      <c r="Y380" s="76">
        <f t="shared" si="83"/>
        <v>173145.40000000002</v>
      </c>
    </row>
    <row r="381" spans="8:25">
      <c r="H381" s="84">
        <v>331</v>
      </c>
      <c r="I381" s="83">
        <f>IFERROR(EOMONTH(DATE($C$10,$C$9,1),331-1),"")</f>
        <v>55000</v>
      </c>
      <c r="J381" s="82">
        <f t="shared" si="80"/>
        <v>0</v>
      </c>
      <c r="K381" s="82">
        <f t="shared" si="70"/>
        <v>0</v>
      </c>
      <c r="L381" s="82">
        <f t="shared" si="71"/>
        <v>0</v>
      </c>
      <c r="M381" s="82">
        <f t="shared" si="72"/>
        <v>0</v>
      </c>
      <c r="N381" s="82">
        <f t="shared" si="73"/>
        <v>0</v>
      </c>
      <c r="O381" s="82">
        <f t="shared" si="74"/>
        <v>0</v>
      </c>
      <c r="P381" s="82">
        <f t="shared" si="81"/>
        <v>94193.249999999898</v>
      </c>
      <c r="Q381" s="81">
        <v>331</v>
      </c>
      <c r="R381" s="80">
        <f>IFERROR(EOMONTH(DATE($F$10,$F$9,1),331-1),"")</f>
        <v>55000</v>
      </c>
      <c r="S381" s="79">
        <f t="shared" si="82"/>
        <v>0</v>
      </c>
      <c r="T381" s="79">
        <f t="shared" si="75"/>
        <v>0</v>
      </c>
      <c r="U381" s="79">
        <f t="shared" si="76"/>
        <v>0</v>
      </c>
      <c r="V381" s="79">
        <f t="shared" si="77"/>
        <v>0</v>
      </c>
      <c r="W381" s="79">
        <f t="shared" si="78"/>
        <v>0</v>
      </c>
      <c r="X381" s="79">
        <f t="shared" si="79"/>
        <v>0</v>
      </c>
      <c r="Y381" s="79">
        <f t="shared" si="83"/>
        <v>173145.40000000002</v>
      </c>
    </row>
    <row r="382" spans="8:25">
      <c r="H382" s="78">
        <v>332</v>
      </c>
      <c r="I382" s="77">
        <f>IFERROR(EOMONTH(DATE($C$10,$C$9,1),332-1),"")</f>
        <v>55031</v>
      </c>
      <c r="J382" s="76">
        <f t="shared" si="80"/>
        <v>0</v>
      </c>
      <c r="K382" s="76">
        <f t="shared" si="70"/>
        <v>0</v>
      </c>
      <c r="L382" s="76">
        <f t="shared" si="71"/>
        <v>0</v>
      </c>
      <c r="M382" s="76">
        <f t="shared" si="72"/>
        <v>0</v>
      </c>
      <c r="N382" s="76">
        <f t="shared" si="73"/>
        <v>0</v>
      </c>
      <c r="O382" s="76">
        <f t="shared" si="74"/>
        <v>0</v>
      </c>
      <c r="P382" s="76">
        <f t="shared" si="81"/>
        <v>94193.249999999898</v>
      </c>
      <c r="Q382" s="78">
        <v>332</v>
      </c>
      <c r="R382" s="77">
        <f>IFERROR(EOMONTH(DATE($F$10,$F$9,1),332-1),"")</f>
        <v>55031</v>
      </c>
      <c r="S382" s="76">
        <f t="shared" si="82"/>
        <v>0</v>
      </c>
      <c r="T382" s="76">
        <f t="shared" si="75"/>
        <v>0</v>
      </c>
      <c r="U382" s="76">
        <f t="shared" si="76"/>
        <v>0</v>
      </c>
      <c r="V382" s="76">
        <f t="shared" si="77"/>
        <v>0</v>
      </c>
      <c r="W382" s="76">
        <f t="shared" si="78"/>
        <v>0</v>
      </c>
      <c r="X382" s="76">
        <f t="shared" si="79"/>
        <v>0</v>
      </c>
      <c r="Y382" s="76">
        <f t="shared" si="83"/>
        <v>173145.40000000002</v>
      </c>
    </row>
    <row r="383" spans="8:25">
      <c r="H383" s="84">
        <v>333</v>
      </c>
      <c r="I383" s="83">
        <f>IFERROR(EOMONTH(DATE($C$10,$C$9,1),333-1),"")</f>
        <v>55061</v>
      </c>
      <c r="J383" s="82">
        <f t="shared" si="80"/>
        <v>0</v>
      </c>
      <c r="K383" s="82">
        <f t="shared" si="70"/>
        <v>0</v>
      </c>
      <c r="L383" s="82">
        <f t="shared" si="71"/>
        <v>0</v>
      </c>
      <c r="M383" s="82">
        <f t="shared" si="72"/>
        <v>0</v>
      </c>
      <c r="N383" s="82">
        <f t="shared" si="73"/>
        <v>0</v>
      </c>
      <c r="O383" s="82">
        <f t="shared" si="74"/>
        <v>0</v>
      </c>
      <c r="P383" s="82">
        <f t="shared" si="81"/>
        <v>94193.249999999898</v>
      </c>
      <c r="Q383" s="81">
        <v>333</v>
      </c>
      <c r="R383" s="80">
        <f>IFERROR(EOMONTH(DATE($F$10,$F$9,1),333-1),"")</f>
        <v>55061</v>
      </c>
      <c r="S383" s="79">
        <f t="shared" si="82"/>
        <v>0</v>
      </c>
      <c r="T383" s="79">
        <f t="shared" si="75"/>
        <v>0</v>
      </c>
      <c r="U383" s="79">
        <f t="shared" si="76"/>
        <v>0</v>
      </c>
      <c r="V383" s="79">
        <f t="shared" si="77"/>
        <v>0</v>
      </c>
      <c r="W383" s="79">
        <f t="shared" si="78"/>
        <v>0</v>
      </c>
      <c r="X383" s="79">
        <f t="shared" si="79"/>
        <v>0</v>
      </c>
      <c r="Y383" s="79">
        <f t="shared" si="83"/>
        <v>173145.40000000002</v>
      </c>
    </row>
    <row r="384" spans="8:25">
      <c r="H384" s="78">
        <v>334</v>
      </c>
      <c r="I384" s="77">
        <f>IFERROR(EOMONTH(DATE($C$10,$C$9,1),334-1),"")</f>
        <v>55092</v>
      </c>
      <c r="J384" s="76">
        <f t="shared" si="80"/>
        <v>0</v>
      </c>
      <c r="K384" s="76">
        <f t="shared" si="70"/>
        <v>0</v>
      </c>
      <c r="L384" s="76">
        <f t="shared" si="71"/>
        <v>0</v>
      </c>
      <c r="M384" s="76">
        <f t="shared" si="72"/>
        <v>0</v>
      </c>
      <c r="N384" s="76">
        <f t="shared" si="73"/>
        <v>0</v>
      </c>
      <c r="O384" s="76">
        <f t="shared" si="74"/>
        <v>0</v>
      </c>
      <c r="P384" s="76">
        <f t="shared" si="81"/>
        <v>94193.249999999898</v>
      </c>
      <c r="Q384" s="78">
        <v>334</v>
      </c>
      <c r="R384" s="77">
        <f>IFERROR(EOMONTH(DATE($F$10,$F$9,1),334-1),"")</f>
        <v>55092</v>
      </c>
      <c r="S384" s="76">
        <f t="shared" si="82"/>
        <v>0</v>
      </c>
      <c r="T384" s="76">
        <f t="shared" si="75"/>
        <v>0</v>
      </c>
      <c r="U384" s="76">
        <f t="shared" si="76"/>
        <v>0</v>
      </c>
      <c r="V384" s="76">
        <f t="shared" si="77"/>
        <v>0</v>
      </c>
      <c r="W384" s="76">
        <f t="shared" si="78"/>
        <v>0</v>
      </c>
      <c r="X384" s="76">
        <f t="shared" si="79"/>
        <v>0</v>
      </c>
      <c r="Y384" s="76">
        <f t="shared" si="83"/>
        <v>173145.40000000002</v>
      </c>
    </row>
    <row r="385" spans="8:25">
      <c r="H385" s="84">
        <v>335</v>
      </c>
      <c r="I385" s="83">
        <f>IFERROR(EOMONTH(DATE($C$10,$C$9,1),335-1),"")</f>
        <v>55122</v>
      </c>
      <c r="J385" s="82">
        <f t="shared" si="80"/>
        <v>0</v>
      </c>
      <c r="K385" s="82">
        <f t="shared" si="70"/>
        <v>0</v>
      </c>
      <c r="L385" s="82">
        <f t="shared" si="71"/>
        <v>0</v>
      </c>
      <c r="M385" s="82">
        <f t="shared" si="72"/>
        <v>0</v>
      </c>
      <c r="N385" s="82">
        <f t="shared" si="73"/>
        <v>0</v>
      </c>
      <c r="O385" s="82">
        <f t="shared" si="74"/>
        <v>0</v>
      </c>
      <c r="P385" s="82">
        <f t="shared" si="81"/>
        <v>94193.249999999898</v>
      </c>
      <c r="Q385" s="81">
        <v>335</v>
      </c>
      <c r="R385" s="80">
        <f>IFERROR(EOMONTH(DATE($F$10,$F$9,1),335-1),"")</f>
        <v>55122</v>
      </c>
      <c r="S385" s="79">
        <f t="shared" si="82"/>
        <v>0</v>
      </c>
      <c r="T385" s="79">
        <f t="shared" si="75"/>
        <v>0</v>
      </c>
      <c r="U385" s="79">
        <f t="shared" si="76"/>
        <v>0</v>
      </c>
      <c r="V385" s="79">
        <f t="shared" si="77"/>
        <v>0</v>
      </c>
      <c r="W385" s="79">
        <f t="shared" si="78"/>
        <v>0</v>
      </c>
      <c r="X385" s="79">
        <f t="shared" si="79"/>
        <v>0</v>
      </c>
      <c r="Y385" s="79">
        <f t="shared" si="83"/>
        <v>173145.40000000002</v>
      </c>
    </row>
    <row r="386" spans="8:25">
      <c r="H386" s="78">
        <v>336</v>
      </c>
      <c r="I386" s="77">
        <f>IFERROR(EOMONTH(DATE($C$10,$C$9,1),336-1),"")</f>
        <v>55153</v>
      </c>
      <c r="J386" s="76">
        <f t="shared" si="80"/>
        <v>0</v>
      </c>
      <c r="K386" s="76">
        <f t="shared" si="70"/>
        <v>0</v>
      </c>
      <c r="L386" s="76">
        <f t="shared" si="71"/>
        <v>0</v>
      </c>
      <c r="M386" s="76">
        <f t="shared" si="72"/>
        <v>0</v>
      </c>
      <c r="N386" s="76">
        <f t="shared" si="73"/>
        <v>0</v>
      </c>
      <c r="O386" s="76">
        <f t="shared" si="74"/>
        <v>0</v>
      </c>
      <c r="P386" s="76">
        <f t="shared" si="81"/>
        <v>94193.249999999898</v>
      </c>
      <c r="Q386" s="78">
        <v>336</v>
      </c>
      <c r="R386" s="77">
        <f>IFERROR(EOMONTH(DATE($F$10,$F$9,1),336-1),"")</f>
        <v>55153</v>
      </c>
      <c r="S386" s="76">
        <f t="shared" si="82"/>
        <v>0</v>
      </c>
      <c r="T386" s="76">
        <f t="shared" si="75"/>
        <v>0</v>
      </c>
      <c r="U386" s="76">
        <f t="shared" si="76"/>
        <v>0</v>
      </c>
      <c r="V386" s="76">
        <f t="shared" si="77"/>
        <v>0</v>
      </c>
      <c r="W386" s="76">
        <f t="shared" si="78"/>
        <v>0</v>
      </c>
      <c r="X386" s="76">
        <f t="shared" si="79"/>
        <v>0</v>
      </c>
      <c r="Y386" s="76">
        <f t="shared" si="83"/>
        <v>173145.40000000002</v>
      </c>
    </row>
    <row r="387" spans="8:25">
      <c r="H387" s="84">
        <v>337</v>
      </c>
      <c r="I387" s="83">
        <f>IFERROR(EOMONTH(DATE($C$10,$C$9,1),337-1),"")</f>
        <v>55184</v>
      </c>
      <c r="J387" s="82">
        <f t="shared" si="80"/>
        <v>0</v>
      </c>
      <c r="K387" s="82">
        <f t="shared" si="70"/>
        <v>0</v>
      </c>
      <c r="L387" s="82">
        <f t="shared" si="71"/>
        <v>0</v>
      </c>
      <c r="M387" s="82">
        <f t="shared" si="72"/>
        <v>0</v>
      </c>
      <c r="N387" s="82">
        <f t="shared" si="73"/>
        <v>0</v>
      </c>
      <c r="O387" s="82">
        <f t="shared" si="74"/>
        <v>0</v>
      </c>
      <c r="P387" s="82">
        <f t="shared" si="81"/>
        <v>94193.249999999898</v>
      </c>
      <c r="Q387" s="81">
        <v>337</v>
      </c>
      <c r="R387" s="80">
        <f>IFERROR(EOMONTH(DATE($F$10,$F$9,1),337-1),"")</f>
        <v>55184</v>
      </c>
      <c r="S387" s="79">
        <f t="shared" si="82"/>
        <v>0</v>
      </c>
      <c r="T387" s="79">
        <f t="shared" si="75"/>
        <v>0</v>
      </c>
      <c r="U387" s="79">
        <f t="shared" si="76"/>
        <v>0</v>
      </c>
      <c r="V387" s="79">
        <f t="shared" si="77"/>
        <v>0</v>
      </c>
      <c r="W387" s="79">
        <f t="shared" si="78"/>
        <v>0</v>
      </c>
      <c r="X387" s="79">
        <f t="shared" si="79"/>
        <v>0</v>
      </c>
      <c r="Y387" s="79">
        <f t="shared" si="83"/>
        <v>173145.40000000002</v>
      </c>
    </row>
    <row r="388" spans="8:25">
      <c r="H388" s="78">
        <v>338</v>
      </c>
      <c r="I388" s="77">
        <f>IFERROR(EOMONTH(DATE($C$10,$C$9,1),338-1),"")</f>
        <v>55212</v>
      </c>
      <c r="J388" s="76">
        <f t="shared" si="80"/>
        <v>0</v>
      </c>
      <c r="K388" s="76">
        <f t="shared" si="70"/>
        <v>0</v>
      </c>
      <c r="L388" s="76">
        <f t="shared" si="71"/>
        <v>0</v>
      </c>
      <c r="M388" s="76">
        <f t="shared" si="72"/>
        <v>0</v>
      </c>
      <c r="N388" s="76">
        <f t="shared" si="73"/>
        <v>0</v>
      </c>
      <c r="O388" s="76">
        <f t="shared" si="74"/>
        <v>0</v>
      </c>
      <c r="P388" s="76">
        <f t="shared" si="81"/>
        <v>94193.249999999898</v>
      </c>
      <c r="Q388" s="78">
        <v>338</v>
      </c>
      <c r="R388" s="77">
        <f>IFERROR(EOMONTH(DATE($F$10,$F$9,1),338-1),"")</f>
        <v>55212</v>
      </c>
      <c r="S388" s="76">
        <f t="shared" si="82"/>
        <v>0</v>
      </c>
      <c r="T388" s="76">
        <f t="shared" si="75"/>
        <v>0</v>
      </c>
      <c r="U388" s="76">
        <f t="shared" si="76"/>
        <v>0</v>
      </c>
      <c r="V388" s="76">
        <f t="shared" si="77"/>
        <v>0</v>
      </c>
      <c r="W388" s="76">
        <f t="shared" si="78"/>
        <v>0</v>
      </c>
      <c r="X388" s="76">
        <f t="shared" si="79"/>
        <v>0</v>
      </c>
      <c r="Y388" s="76">
        <f t="shared" si="83"/>
        <v>173145.40000000002</v>
      </c>
    </row>
    <row r="389" spans="8:25">
      <c r="H389" s="84">
        <v>339</v>
      </c>
      <c r="I389" s="83">
        <f>IFERROR(EOMONTH(DATE($C$10,$C$9,1),339-1),"")</f>
        <v>55243</v>
      </c>
      <c r="J389" s="82">
        <f t="shared" si="80"/>
        <v>0</v>
      </c>
      <c r="K389" s="82">
        <f t="shared" si="70"/>
        <v>0</v>
      </c>
      <c r="L389" s="82">
        <f t="shared" si="71"/>
        <v>0</v>
      </c>
      <c r="M389" s="82">
        <f t="shared" si="72"/>
        <v>0</v>
      </c>
      <c r="N389" s="82">
        <f t="shared" si="73"/>
        <v>0</v>
      </c>
      <c r="O389" s="82">
        <f t="shared" si="74"/>
        <v>0</v>
      </c>
      <c r="P389" s="82">
        <f t="shared" si="81"/>
        <v>94193.249999999898</v>
      </c>
      <c r="Q389" s="81">
        <v>339</v>
      </c>
      <c r="R389" s="80">
        <f>IFERROR(EOMONTH(DATE($F$10,$F$9,1),339-1),"")</f>
        <v>55243</v>
      </c>
      <c r="S389" s="79">
        <f t="shared" si="82"/>
        <v>0</v>
      </c>
      <c r="T389" s="79">
        <f t="shared" si="75"/>
        <v>0</v>
      </c>
      <c r="U389" s="79">
        <f t="shared" si="76"/>
        <v>0</v>
      </c>
      <c r="V389" s="79">
        <f t="shared" si="77"/>
        <v>0</v>
      </c>
      <c r="W389" s="79">
        <f t="shared" si="78"/>
        <v>0</v>
      </c>
      <c r="X389" s="79">
        <f t="shared" si="79"/>
        <v>0</v>
      </c>
      <c r="Y389" s="79">
        <f t="shared" si="83"/>
        <v>173145.40000000002</v>
      </c>
    </row>
    <row r="390" spans="8:25">
      <c r="H390" s="78">
        <v>340</v>
      </c>
      <c r="I390" s="77">
        <f>IFERROR(EOMONTH(DATE($C$10,$C$9,1),340-1),"")</f>
        <v>55273</v>
      </c>
      <c r="J390" s="76">
        <f t="shared" si="80"/>
        <v>0</v>
      </c>
      <c r="K390" s="76">
        <f t="shared" si="70"/>
        <v>0</v>
      </c>
      <c r="L390" s="76">
        <f t="shared" si="71"/>
        <v>0</v>
      </c>
      <c r="M390" s="76">
        <f t="shared" si="72"/>
        <v>0</v>
      </c>
      <c r="N390" s="76">
        <f t="shared" si="73"/>
        <v>0</v>
      </c>
      <c r="O390" s="76">
        <f t="shared" si="74"/>
        <v>0</v>
      </c>
      <c r="P390" s="76">
        <f t="shared" si="81"/>
        <v>94193.249999999898</v>
      </c>
      <c r="Q390" s="78">
        <v>340</v>
      </c>
      <c r="R390" s="77">
        <f>IFERROR(EOMONTH(DATE($F$10,$F$9,1),340-1),"")</f>
        <v>55273</v>
      </c>
      <c r="S390" s="76">
        <f t="shared" si="82"/>
        <v>0</v>
      </c>
      <c r="T390" s="76">
        <f t="shared" si="75"/>
        <v>0</v>
      </c>
      <c r="U390" s="76">
        <f t="shared" si="76"/>
        <v>0</v>
      </c>
      <c r="V390" s="76">
        <f t="shared" si="77"/>
        <v>0</v>
      </c>
      <c r="W390" s="76">
        <f t="shared" si="78"/>
        <v>0</v>
      </c>
      <c r="X390" s="76">
        <f t="shared" si="79"/>
        <v>0</v>
      </c>
      <c r="Y390" s="76">
        <f t="shared" si="83"/>
        <v>173145.40000000002</v>
      </c>
    </row>
    <row r="391" spans="8:25">
      <c r="H391" s="84">
        <v>341</v>
      </c>
      <c r="I391" s="83">
        <f>IFERROR(EOMONTH(DATE($C$10,$C$9,1),341-1),"")</f>
        <v>55304</v>
      </c>
      <c r="J391" s="82">
        <f t="shared" si="80"/>
        <v>0</v>
      </c>
      <c r="K391" s="82">
        <f t="shared" si="70"/>
        <v>0</v>
      </c>
      <c r="L391" s="82">
        <f t="shared" si="71"/>
        <v>0</v>
      </c>
      <c r="M391" s="82">
        <f t="shared" si="72"/>
        <v>0</v>
      </c>
      <c r="N391" s="82">
        <f t="shared" si="73"/>
        <v>0</v>
      </c>
      <c r="O391" s="82">
        <f t="shared" si="74"/>
        <v>0</v>
      </c>
      <c r="P391" s="82">
        <f t="shared" si="81"/>
        <v>94193.249999999898</v>
      </c>
      <c r="Q391" s="81">
        <v>341</v>
      </c>
      <c r="R391" s="80">
        <f>IFERROR(EOMONTH(DATE($F$10,$F$9,1),341-1),"")</f>
        <v>55304</v>
      </c>
      <c r="S391" s="79">
        <f t="shared" si="82"/>
        <v>0</v>
      </c>
      <c r="T391" s="79">
        <f t="shared" si="75"/>
        <v>0</v>
      </c>
      <c r="U391" s="79">
        <f t="shared" si="76"/>
        <v>0</v>
      </c>
      <c r="V391" s="79">
        <f t="shared" si="77"/>
        <v>0</v>
      </c>
      <c r="W391" s="79">
        <f t="shared" si="78"/>
        <v>0</v>
      </c>
      <c r="X391" s="79">
        <f t="shared" si="79"/>
        <v>0</v>
      </c>
      <c r="Y391" s="79">
        <f t="shared" si="83"/>
        <v>173145.40000000002</v>
      </c>
    </row>
    <row r="392" spans="8:25">
      <c r="H392" s="78">
        <v>342</v>
      </c>
      <c r="I392" s="77">
        <f>IFERROR(EOMONTH(DATE($C$10,$C$9,1),342-1),"")</f>
        <v>55334</v>
      </c>
      <c r="J392" s="76">
        <f t="shared" si="80"/>
        <v>0</v>
      </c>
      <c r="K392" s="76">
        <f t="shared" si="70"/>
        <v>0</v>
      </c>
      <c r="L392" s="76">
        <f t="shared" si="71"/>
        <v>0</v>
      </c>
      <c r="M392" s="76">
        <f t="shared" si="72"/>
        <v>0</v>
      </c>
      <c r="N392" s="76">
        <f t="shared" si="73"/>
        <v>0</v>
      </c>
      <c r="O392" s="76">
        <f t="shared" si="74"/>
        <v>0</v>
      </c>
      <c r="P392" s="76">
        <f t="shared" si="81"/>
        <v>94193.249999999898</v>
      </c>
      <c r="Q392" s="78">
        <v>342</v>
      </c>
      <c r="R392" s="77">
        <f>IFERROR(EOMONTH(DATE($F$10,$F$9,1),342-1),"")</f>
        <v>55334</v>
      </c>
      <c r="S392" s="76">
        <f t="shared" si="82"/>
        <v>0</v>
      </c>
      <c r="T392" s="76">
        <f t="shared" si="75"/>
        <v>0</v>
      </c>
      <c r="U392" s="76">
        <f t="shared" si="76"/>
        <v>0</v>
      </c>
      <c r="V392" s="76">
        <f t="shared" si="77"/>
        <v>0</v>
      </c>
      <c r="W392" s="76">
        <f t="shared" si="78"/>
        <v>0</v>
      </c>
      <c r="X392" s="76">
        <f t="shared" si="79"/>
        <v>0</v>
      </c>
      <c r="Y392" s="76">
        <f t="shared" si="83"/>
        <v>173145.40000000002</v>
      </c>
    </row>
    <row r="393" spans="8:25">
      <c r="H393" s="84">
        <v>343</v>
      </c>
      <c r="I393" s="83">
        <f>IFERROR(EOMONTH(DATE($C$10,$C$9,1),343-1),"")</f>
        <v>55365</v>
      </c>
      <c r="J393" s="82">
        <f t="shared" si="80"/>
        <v>0</v>
      </c>
      <c r="K393" s="82">
        <f t="shared" si="70"/>
        <v>0</v>
      </c>
      <c r="L393" s="82">
        <f t="shared" si="71"/>
        <v>0</v>
      </c>
      <c r="M393" s="82">
        <f t="shared" si="72"/>
        <v>0</v>
      </c>
      <c r="N393" s="82">
        <f t="shared" si="73"/>
        <v>0</v>
      </c>
      <c r="O393" s="82">
        <f t="shared" si="74"/>
        <v>0</v>
      </c>
      <c r="P393" s="82">
        <f t="shared" si="81"/>
        <v>94193.249999999898</v>
      </c>
      <c r="Q393" s="81">
        <v>343</v>
      </c>
      <c r="R393" s="80">
        <f>IFERROR(EOMONTH(DATE($F$10,$F$9,1),343-1),"")</f>
        <v>55365</v>
      </c>
      <c r="S393" s="79">
        <f t="shared" si="82"/>
        <v>0</v>
      </c>
      <c r="T393" s="79">
        <f t="shared" si="75"/>
        <v>0</v>
      </c>
      <c r="U393" s="79">
        <f t="shared" si="76"/>
        <v>0</v>
      </c>
      <c r="V393" s="79">
        <f t="shared" si="77"/>
        <v>0</v>
      </c>
      <c r="W393" s="79">
        <f t="shared" si="78"/>
        <v>0</v>
      </c>
      <c r="X393" s="79">
        <f t="shared" si="79"/>
        <v>0</v>
      </c>
      <c r="Y393" s="79">
        <f t="shared" si="83"/>
        <v>173145.40000000002</v>
      </c>
    </row>
    <row r="394" spans="8:25">
      <c r="H394" s="78">
        <v>344</v>
      </c>
      <c r="I394" s="77">
        <f>IFERROR(EOMONTH(DATE($C$10,$C$9,1),344-1),"")</f>
        <v>55396</v>
      </c>
      <c r="J394" s="76">
        <f t="shared" si="80"/>
        <v>0</v>
      </c>
      <c r="K394" s="76">
        <f t="shared" si="70"/>
        <v>0</v>
      </c>
      <c r="L394" s="76">
        <f t="shared" si="71"/>
        <v>0</v>
      </c>
      <c r="M394" s="76">
        <f t="shared" si="72"/>
        <v>0</v>
      </c>
      <c r="N394" s="76">
        <f t="shared" si="73"/>
        <v>0</v>
      </c>
      <c r="O394" s="76">
        <f t="shared" si="74"/>
        <v>0</v>
      </c>
      <c r="P394" s="76">
        <f t="shared" si="81"/>
        <v>94193.249999999898</v>
      </c>
      <c r="Q394" s="78">
        <v>344</v>
      </c>
      <c r="R394" s="77">
        <f>IFERROR(EOMONTH(DATE($F$10,$F$9,1),344-1),"")</f>
        <v>55396</v>
      </c>
      <c r="S394" s="76">
        <f t="shared" si="82"/>
        <v>0</v>
      </c>
      <c r="T394" s="76">
        <f t="shared" si="75"/>
        <v>0</v>
      </c>
      <c r="U394" s="76">
        <f t="shared" si="76"/>
        <v>0</v>
      </c>
      <c r="V394" s="76">
        <f t="shared" si="77"/>
        <v>0</v>
      </c>
      <c r="W394" s="76">
        <f t="shared" si="78"/>
        <v>0</v>
      </c>
      <c r="X394" s="76">
        <f t="shared" si="79"/>
        <v>0</v>
      </c>
      <c r="Y394" s="76">
        <f t="shared" si="83"/>
        <v>173145.40000000002</v>
      </c>
    </row>
    <row r="395" spans="8:25">
      <c r="H395" s="84">
        <v>345</v>
      </c>
      <c r="I395" s="83">
        <f>IFERROR(EOMONTH(DATE($C$10,$C$9,1),345-1),"")</f>
        <v>55426</v>
      </c>
      <c r="J395" s="82">
        <f t="shared" si="80"/>
        <v>0</v>
      </c>
      <c r="K395" s="82">
        <f t="shared" si="70"/>
        <v>0</v>
      </c>
      <c r="L395" s="82">
        <f t="shared" si="71"/>
        <v>0</v>
      </c>
      <c r="M395" s="82">
        <f t="shared" si="72"/>
        <v>0</v>
      </c>
      <c r="N395" s="82">
        <f t="shared" si="73"/>
        <v>0</v>
      </c>
      <c r="O395" s="82">
        <f t="shared" si="74"/>
        <v>0</v>
      </c>
      <c r="P395" s="82">
        <f t="shared" si="81"/>
        <v>94193.249999999898</v>
      </c>
      <c r="Q395" s="81">
        <v>345</v>
      </c>
      <c r="R395" s="80">
        <f>IFERROR(EOMONTH(DATE($F$10,$F$9,1),345-1),"")</f>
        <v>55426</v>
      </c>
      <c r="S395" s="79">
        <f t="shared" si="82"/>
        <v>0</v>
      </c>
      <c r="T395" s="79">
        <f t="shared" si="75"/>
        <v>0</v>
      </c>
      <c r="U395" s="79">
        <f t="shared" si="76"/>
        <v>0</v>
      </c>
      <c r="V395" s="79">
        <f t="shared" si="77"/>
        <v>0</v>
      </c>
      <c r="W395" s="79">
        <f t="shared" si="78"/>
        <v>0</v>
      </c>
      <c r="X395" s="79">
        <f t="shared" si="79"/>
        <v>0</v>
      </c>
      <c r="Y395" s="79">
        <f t="shared" si="83"/>
        <v>173145.40000000002</v>
      </c>
    </row>
    <row r="396" spans="8:25">
      <c r="H396" s="78">
        <v>346</v>
      </c>
      <c r="I396" s="77">
        <f>IFERROR(EOMONTH(DATE($C$10,$C$9,1),346-1),"")</f>
        <v>55457</v>
      </c>
      <c r="J396" s="76">
        <f t="shared" si="80"/>
        <v>0</v>
      </c>
      <c r="K396" s="76">
        <f t="shared" si="70"/>
        <v>0</v>
      </c>
      <c r="L396" s="76">
        <f t="shared" si="71"/>
        <v>0</v>
      </c>
      <c r="M396" s="76">
        <f t="shared" si="72"/>
        <v>0</v>
      </c>
      <c r="N396" s="76">
        <f t="shared" si="73"/>
        <v>0</v>
      </c>
      <c r="O396" s="76">
        <f t="shared" si="74"/>
        <v>0</v>
      </c>
      <c r="P396" s="76">
        <f t="shared" si="81"/>
        <v>94193.249999999898</v>
      </c>
      <c r="Q396" s="78">
        <v>346</v>
      </c>
      <c r="R396" s="77">
        <f>IFERROR(EOMONTH(DATE($F$10,$F$9,1),346-1),"")</f>
        <v>55457</v>
      </c>
      <c r="S396" s="76">
        <f t="shared" si="82"/>
        <v>0</v>
      </c>
      <c r="T396" s="76">
        <f t="shared" si="75"/>
        <v>0</v>
      </c>
      <c r="U396" s="76">
        <f t="shared" si="76"/>
        <v>0</v>
      </c>
      <c r="V396" s="76">
        <f t="shared" si="77"/>
        <v>0</v>
      </c>
      <c r="W396" s="76">
        <f t="shared" si="78"/>
        <v>0</v>
      </c>
      <c r="X396" s="76">
        <f t="shared" si="79"/>
        <v>0</v>
      </c>
      <c r="Y396" s="76">
        <f t="shared" si="83"/>
        <v>173145.40000000002</v>
      </c>
    </row>
    <row r="397" spans="8:25">
      <c r="H397" s="84">
        <v>347</v>
      </c>
      <c r="I397" s="83">
        <f>IFERROR(EOMONTH(DATE($C$10,$C$9,1),347-1),"")</f>
        <v>55487</v>
      </c>
      <c r="J397" s="82">
        <f t="shared" si="80"/>
        <v>0</v>
      </c>
      <c r="K397" s="82">
        <f t="shared" si="70"/>
        <v>0</v>
      </c>
      <c r="L397" s="82">
        <f t="shared" si="71"/>
        <v>0</v>
      </c>
      <c r="M397" s="82">
        <f t="shared" si="72"/>
        <v>0</v>
      </c>
      <c r="N397" s="82">
        <f t="shared" si="73"/>
        <v>0</v>
      </c>
      <c r="O397" s="82">
        <f t="shared" si="74"/>
        <v>0</v>
      </c>
      <c r="P397" s="82">
        <f t="shared" si="81"/>
        <v>94193.249999999898</v>
      </c>
      <c r="Q397" s="81">
        <v>347</v>
      </c>
      <c r="R397" s="80">
        <f>IFERROR(EOMONTH(DATE($F$10,$F$9,1),347-1),"")</f>
        <v>55487</v>
      </c>
      <c r="S397" s="79">
        <f t="shared" si="82"/>
        <v>0</v>
      </c>
      <c r="T397" s="79">
        <f t="shared" si="75"/>
        <v>0</v>
      </c>
      <c r="U397" s="79">
        <f t="shared" si="76"/>
        <v>0</v>
      </c>
      <c r="V397" s="79">
        <f t="shared" si="77"/>
        <v>0</v>
      </c>
      <c r="W397" s="79">
        <f t="shared" si="78"/>
        <v>0</v>
      </c>
      <c r="X397" s="79">
        <f t="shared" si="79"/>
        <v>0</v>
      </c>
      <c r="Y397" s="79">
        <f t="shared" si="83"/>
        <v>173145.40000000002</v>
      </c>
    </row>
    <row r="398" spans="8:25">
      <c r="H398" s="78">
        <v>348</v>
      </c>
      <c r="I398" s="77">
        <f>IFERROR(EOMONTH(DATE($C$10,$C$9,1),348-1),"")</f>
        <v>55518</v>
      </c>
      <c r="J398" s="76">
        <f t="shared" si="80"/>
        <v>0</v>
      </c>
      <c r="K398" s="76">
        <f t="shared" si="70"/>
        <v>0</v>
      </c>
      <c r="L398" s="76">
        <f t="shared" si="71"/>
        <v>0</v>
      </c>
      <c r="M398" s="76">
        <f t="shared" si="72"/>
        <v>0</v>
      </c>
      <c r="N398" s="76">
        <f t="shared" si="73"/>
        <v>0</v>
      </c>
      <c r="O398" s="76">
        <f t="shared" si="74"/>
        <v>0</v>
      </c>
      <c r="P398" s="76">
        <f t="shared" si="81"/>
        <v>94193.249999999898</v>
      </c>
      <c r="Q398" s="78">
        <v>348</v>
      </c>
      <c r="R398" s="77">
        <f>IFERROR(EOMONTH(DATE($F$10,$F$9,1),348-1),"")</f>
        <v>55518</v>
      </c>
      <c r="S398" s="76">
        <f t="shared" si="82"/>
        <v>0</v>
      </c>
      <c r="T398" s="76">
        <f t="shared" si="75"/>
        <v>0</v>
      </c>
      <c r="U398" s="76">
        <f t="shared" si="76"/>
        <v>0</v>
      </c>
      <c r="V398" s="76">
        <f t="shared" si="77"/>
        <v>0</v>
      </c>
      <c r="W398" s="76">
        <f t="shared" si="78"/>
        <v>0</v>
      </c>
      <c r="X398" s="76">
        <f t="shared" si="79"/>
        <v>0</v>
      </c>
      <c r="Y398" s="76">
        <f t="shared" si="83"/>
        <v>173145.40000000002</v>
      </c>
    </row>
    <row r="399" spans="8:25">
      <c r="H399" s="84">
        <v>349</v>
      </c>
      <c r="I399" s="83">
        <f>IFERROR(EOMONTH(DATE($C$10,$C$9,1),349-1),"")</f>
        <v>55549</v>
      </c>
      <c r="J399" s="82">
        <f t="shared" si="80"/>
        <v>0</v>
      </c>
      <c r="K399" s="82">
        <f t="shared" si="70"/>
        <v>0</v>
      </c>
      <c r="L399" s="82">
        <f t="shared" si="71"/>
        <v>0</v>
      </c>
      <c r="M399" s="82">
        <f t="shared" si="72"/>
        <v>0</v>
      </c>
      <c r="N399" s="82">
        <f t="shared" si="73"/>
        <v>0</v>
      </c>
      <c r="O399" s="82">
        <f t="shared" si="74"/>
        <v>0</v>
      </c>
      <c r="P399" s="82">
        <f t="shared" si="81"/>
        <v>94193.249999999898</v>
      </c>
      <c r="Q399" s="81">
        <v>349</v>
      </c>
      <c r="R399" s="80">
        <f>IFERROR(EOMONTH(DATE($F$10,$F$9,1),349-1),"")</f>
        <v>55549</v>
      </c>
      <c r="S399" s="79">
        <f t="shared" si="82"/>
        <v>0</v>
      </c>
      <c r="T399" s="79">
        <f t="shared" si="75"/>
        <v>0</v>
      </c>
      <c r="U399" s="79">
        <f t="shared" si="76"/>
        <v>0</v>
      </c>
      <c r="V399" s="79">
        <f t="shared" si="77"/>
        <v>0</v>
      </c>
      <c r="W399" s="79">
        <f t="shared" si="78"/>
        <v>0</v>
      </c>
      <c r="X399" s="79">
        <f t="shared" si="79"/>
        <v>0</v>
      </c>
      <c r="Y399" s="79">
        <f t="shared" si="83"/>
        <v>173145.40000000002</v>
      </c>
    </row>
    <row r="400" spans="8:25">
      <c r="H400" s="78">
        <v>350</v>
      </c>
      <c r="I400" s="77">
        <f>IFERROR(EOMONTH(DATE($C$10,$C$9,1),350-1),"")</f>
        <v>55578</v>
      </c>
      <c r="J400" s="76">
        <f t="shared" si="80"/>
        <v>0</v>
      </c>
      <c r="K400" s="76">
        <f t="shared" si="70"/>
        <v>0</v>
      </c>
      <c r="L400" s="76">
        <f t="shared" si="71"/>
        <v>0</v>
      </c>
      <c r="M400" s="76">
        <f t="shared" si="72"/>
        <v>0</v>
      </c>
      <c r="N400" s="76">
        <f t="shared" si="73"/>
        <v>0</v>
      </c>
      <c r="O400" s="76">
        <f t="shared" si="74"/>
        <v>0</v>
      </c>
      <c r="P400" s="76">
        <f t="shared" si="81"/>
        <v>94193.249999999898</v>
      </c>
      <c r="Q400" s="78">
        <v>350</v>
      </c>
      <c r="R400" s="77">
        <f>IFERROR(EOMONTH(DATE($F$10,$F$9,1),350-1),"")</f>
        <v>55578</v>
      </c>
      <c r="S400" s="76">
        <f t="shared" si="82"/>
        <v>0</v>
      </c>
      <c r="T400" s="76">
        <f t="shared" si="75"/>
        <v>0</v>
      </c>
      <c r="U400" s="76">
        <f t="shared" si="76"/>
        <v>0</v>
      </c>
      <c r="V400" s="76">
        <f t="shared" si="77"/>
        <v>0</v>
      </c>
      <c r="W400" s="76">
        <f t="shared" si="78"/>
        <v>0</v>
      </c>
      <c r="X400" s="76">
        <f t="shared" si="79"/>
        <v>0</v>
      </c>
      <c r="Y400" s="76">
        <f t="shared" si="83"/>
        <v>173145.40000000002</v>
      </c>
    </row>
    <row r="401" spans="8:25">
      <c r="H401" s="84">
        <v>351</v>
      </c>
      <c r="I401" s="83">
        <f>IFERROR(EOMONTH(DATE($C$10,$C$9,1),351-1),"")</f>
        <v>55609</v>
      </c>
      <c r="J401" s="82">
        <f t="shared" si="80"/>
        <v>0</v>
      </c>
      <c r="K401" s="82">
        <f t="shared" si="70"/>
        <v>0</v>
      </c>
      <c r="L401" s="82">
        <f t="shared" si="71"/>
        <v>0</v>
      </c>
      <c r="M401" s="82">
        <f t="shared" si="72"/>
        <v>0</v>
      </c>
      <c r="N401" s="82">
        <f t="shared" si="73"/>
        <v>0</v>
      </c>
      <c r="O401" s="82">
        <f t="shared" si="74"/>
        <v>0</v>
      </c>
      <c r="P401" s="82">
        <f t="shared" si="81"/>
        <v>94193.249999999898</v>
      </c>
      <c r="Q401" s="81">
        <v>351</v>
      </c>
      <c r="R401" s="80">
        <f>IFERROR(EOMONTH(DATE($F$10,$F$9,1),351-1),"")</f>
        <v>55609</v>
      </c>
      <c r="S401" s="79">
        <f t="shared" si="82"/>
        <v>0</v>
      </c>
      <c r="T401" s="79">
        <f t="shared" si="75"/>
        <v>0</v>
      </c>
      <c r="U401" s="79">
        <f t="shared" si="76"/>
        <v>0</v>
      </c>
      <c r="V401" s="79">
        <f t="shared" si="77"/>
        <v>0</v>
      </c>
      <c r="W401" s="79">
        <f t="shared" si="78"/>
        <v>0</v>
      </c>
      <c r="X401" s="79">
        <f t="shared" si="79"/>
        <v>0</v>
      </c>
      <c r="Y401" s="79">
        <f t="shared" si="83"/>
        <v>173145.40000000002</v>
      </c>
    </row>
    <row r="402" spans="8:25">
      <c r="H402" s="78">
        <v>352</v>
      </c>
      <c r="I402" s="77">
        <f>IFERROR(EOMONTH(DATE($C$10,$C$9,1),352-1),"")</f>
        <v>55639</v>
      </c>
      <c r="J402" s="76">
        <f t="shared" si="80"/>
        <v>0</v>
      </c>
      <c r="K402" s="76">
        <f t="shared" si="70"/>
        <v>0</v>
      </c>
      <c r="L402" s="76">
        <f t="shared" si="71"/>
        <v>0</v>
      </c>
      <c r="M402" s="76">
        <f t="shared" si="72"/>
        <v>0</v>
      </c>
      <c r="N402" s="76">
        <f t="shared" si="73"/>
        <v>0</v>
      </c>
      <c r="O402" s="76">
        <f t="shared" si="74"/>
        <v>0</v>
      </c>
      <c r="P402" s="76">
        <f t="shared" si="81"/>
        <v>94193.249999999898</v>
      </c>
      <c r="Q402" s="78">
        <v>352</v>
      </c>
      <c r="R402" s="77">
        <f>IFERROR(EOMONTH(DATE($F$10,$F$9,1),352-1),"")</f>
        <v>55639</v>
      </c>
      <c r="S402" s="76">
        <f t="shared" si="82"/>
        <v>0</v>
      </c>
      <c r="T402" s="76">
        <f t="shared" si="75"/>
        <v>0</v>
      </c>
      <c r="U402" s="76">
        <f t="shared" si="76"/>
        <v>0</v>
      </c>
      <c r="V402" s="76">
        <f t="shared" si="77"/>
        <v>0</v>
      </c>
      <c r="W402" s="76">
        <f t="shared" si="78"/>
        <v>0</v>
      </c>
      <c r="X402" s="76">
        <f t="shared" si="79"/>
        <v>0</v>
      </c>
      <c r="Y402" s="76">
        <f t="shared" si="83"/>
        <v>173145.40000000002</v>
      </c>
    </row>
    <row r="403" spans="8:25">
      <c r="H403" s="84">
        <v>353</v>
      </c>
      <c r="I403" s="83">
        <f>IFERROR(EOMONTH(DATE($C$10,$C$9,1),353-1),"")</f>
        <v>55670</v>
      </c>
      <c r="J403" s="82">
        <f t="shared" si="80"/>
        <v>0</v>
      </c>
      <c r="K403" s="82">
        <f t="shared" si="70"/>
        <v>0</v>
      </c>
      <c r="L403" s="82">
        <f t="shared" si="71"/>
        <v>0</v>
      </c>
      <c r="M403" s="82">
        <f t="shared" si="72"/>
        <v>0</v>
      </c>
      <c r="N403" s="82">
        <f t="shared" si="73"/>
        <v>0</v>
      </c>
      <c r="O403" s="82">
        <f t="shared" si="74"/>
        <v>0</v>
      </c>
      <c r="P403" s="82">
        <f t="shared" si="81"/>
        <v>94193.249999999898</v>
      </c>
      <c r="Q403" s="81">
        <v>353</v>
      </c>
      <c r="R403" s="80">
        <f>IFERROR(EOMONTH(DATE($F$10,$F$9,1),353-1),"")</f>
        <v>55670</v>
      </c>
      <c r="S403" s="79">
        <f t="shared" si="82"/>
        <v>0</v>
      </c>
      <c r="T403" s="79">
        <f t="shared" si="75"/>
        <v>0</v>
      </c>
      <c r="U403" s="79">
        <f t="shared" si="76"/>
        <v>0</v>
      </c>
      <c r="V403" s="79">
        <f t="shared" si="77"/>
        <v>0</v>
      </c>
      <c r="W403" s="79">
        <f t="shared" si="78"/>
        <v>0</v>
      </c>
      <c r="X403" s="79">
        <f t="shared" si="79"/>
        <v>0</v>
      </c>
      <c r="Y403" s="79">
        <f t="shared" si="83"/>
        <v>173145.40000000002</v>
      </c>
    </row>
    <row r="404" spans="8:25">
      <c r="H404" s="78">
        <v>354</v>
      </c>
      <c r="I404" s="77">
        <f>IFERROR(EOMONTH(DATE($C$10,$C$9,1),354-1),"")</f>
        <v>55700</v>
      </c>
      <c r="J404" s="76">
        <f t="shared" si="80"/>
        <v>0</v>
      </c>
      <c r="K404" s="76">
        <f t="shared" si="70"/>
        <v>0</v>
      </c>
      <c r="L404" s="76">
        <f t="shared" si="71"/>
        <v>0</v>
      </c>
      <c r="M404" s="76">
        <f t="shared" si="72"/>
        <v>0</v>
      </c>
      <c r="N404" s="76">
        <f t="shared" si="73"/>
        <v>0</v>
      </c>
      <c r="O404" s="76">
        <f t="shared" si="74"/>
        <v>0</v>
      </c>
      <c r="P404" s="76">
        <f t="shared" si="81"/>
        <v>94193.249999999898</v>
      </c>
      <c r="Q404" s="78">
        <v>354</v>
      </c>
      <c r="R404" s="77">
        <f>IFERROR(EOMONTH(DATE($F$10,$F$9,1),354-1),"")</f>
        <v>55700</v>
      </c>
      <c r="S404" s="76">
        <f t="shared" si="82"/>
        <v>0</v>
      </c>
      <c r="T404" s="76">
        <f t="shared" si="75"/>
        <v>0</v>
      </c>
      <c r="U404" s="76">
        <f t="shared" si="76"/>
        <v>0</v>
      </c>
      <c r="V404" s="76">
        <f t="shared" si="77"/>
        <v>0</v>
      </c>
      <c r="W404" s="76">
        <f t="shared" si="78"/>
        <v>0</v>
      </c>
      <c r="X404" s="76">
        <f t="shared" si="79"/>
        <v>0</v>
      </c>
      <c r="Y404" s="76">
        <f t="shared" si="83"/>
        <v>173145.40000000002</v>
      </c>
    </row>
    <row r="405" spans="8:25">
      <c r="H405" s="84">
        <v>355</v>
      </c>
      <c r="I405" s="83">
        <f>IFERROR(EOMONTH(DATE($C$10,$C$9,1),355-1),"")</f>
        <v>55731</v>
      </c>
      <c r="J405" s="82">
        <f t="shared" si="80"/>
        <v>0</v>
      </c>
      <c r="K405" s="82">
        <f t="shared" si="70"/>
        <v>0</v>
      </c>
      <c r="L405" s="82">
        <f t="shared" si="71"/>
        <v>0</v>
      </c>
      <c r="M405" s="82">
        <f t="shared" si="72"/>
        <v>0</v>
      </c>
      <c r="N405" s="82">
        <f t="shared" si="73"/>
        <v>0</v>
      </c>
      <c r="O405" s="82">
        <f t="shared" si="74"/>
        <v>0</v>
      </c>
      <c r="P405" s="82">
        <f t="shared" si="81"/>
        <v>94193.249999999898</v>
      </c>
      <c r="Q405" s="81">
        <v>355</v>
      </c>
      <c r="R405" s="80">
        <f>IFERROR(EOMONTH(DATE($F$10,$F$9,1),355-1),"")</f>
        <v>55731</v>
      </c>
      <c r="S405" s="79">
        <f t="shared" si="82"/>
        <v>0</v>
      </c>
      <c r="T405" s="79">
        <f t="shared" si="75"/>
        <v>0</v>
      </c>
      <c r="U405" s="79">
        <f t="shared" si="76"/>
        <v>0</v>
      </c>
      <c r="V405" s="79">
        <f t="shared" si="77"/>
        <v>0</v>
      </c>
      <c r="W405" s="79">
        <f t="shared" si="78"/>
        <v>0</v>
      </c>
      <c r="X405" s="79">
        <f t="shared" si="79"/>
        <v>0</v>
      </c>
      <c r="Y405" s="79">
        <f t="shared" si="83"/>
        <v>173145.40000000002</v>
      </c>
    </row>
    <row r="406" spans="8:25">
      <c r="H406" s="78">
        <v>356</v>
      </c>
      <c r="I406" s="77">
        <f>IFERROR(EOMONTH(DATE($C$10,$C$9,1),356-1),"")</f>
        <v>55762</v>
      </c>
      <c r="J406" s="76">
        <f t="shared" si="80"/>
        <v>0</v>
      </c>
      <c r="K406" s="76">
        <f t="shared" si="70"/>
        <v>0</v>
      </c>
      <c r="L406" s="76">
        <f t="shared" si="71"/>
        <v>0</v>
      </c>
      <c r="M406" s="76">
        <f t="shared" si="72"/>
        <v>0</v>
      </c>
      <c r="N406" s="76">
        <f t="shared" si="73"/>
        <v>0</v>
      </c>
      <c r="O406" s="76">
        <f t="shared" si="74"/>
        <v>0</v>
      </c>
      <c r="P406" s="76">
        <f t="shared" si="81"/>
        <v>94193.249999999898</v>
      </c>
      <c r="Q406" s="78">
        <v>356</v>
      </c>
      <c r="R406" s="77">
        <f>IFERROR(EOMONTH(DATE($F$10,$F$9,1),356-1),"")</f>
        <v>55762</v>
      </c>
      <c r="S406" s="76">
        <f t="shared" si="82"/>
        <v>0</v>
      </c>
      <c r="T406" s="76">
        <f t="shared" si="75"/>
        <v>0</v>
      </c>
      <c r="U406" s="76">
        <f t="shared" si="76"/>
        <v>0</v>
      </c>
      <c r="V406" s="76">
        <f t="shared" si="77"/>
        <v>0</v>
      </c>
      <c r="W406" s="76">
        <f t="shared" si="78"/>
        <v>0</v>
      </c>
      <c r="X406" s="76">
        <f t="shared" si="79"/>
        <v>0</v>
      </c>
      <c r="Y406" s="76">
        <f t="shared" si="83"/>
        <v>173145.40000000002</v>
      </c>
    </row>
    <row r="407" spans="8:25">
      <c r="H407" s="84">
        <v>357</v>
      </c>
      <c r="I407" s="83">
        <f>IFERROR(EOMONTH(DATE($C$10,$C$9,1),357-1),"")</f>
        <v>55792</v>
      </c>
      <c r="J407" s="82">
        <f t="shared" si="80"/>
        <v>0</v>
      </c>
      <c r="K407" s="82">
        <f t="shared" si="70"/>
        <v>0</v>
      </c>
      <c r="L407" s="82">
        <f t="shared" si="71"/>
        <v>0</v>
      </c>
      <c r="M407" s="82">
        <f t="shared" si="72"/>
        <v>0</v>
      </c>
      <c r="N407" s="82">
        <f t="shared" si="73"/>
        <v>0</v>
      </c>
      <c r="O407" s="82">
        <f t="shared" si="74"/>
        <v>0</v>
      </c>
      <c r="P407" s="82">
        <f t="shared" si="81"/>
        <v>94193.249999999898</v>
      </c>
      <c r="Q407" s="81">
        <v>357</v>
      </c>
      <c r="R407" s="80">
        <f>IFERROR(EOMONTH(DATE($F$10,$F$9,1),357-1),"")</f>
        <v>55792</v>
      </c>
      <c r="S407" s="79">
        <f t="shared" si="82"/>
        <v>0</v>
      </c>
      <c r="T407" s="79">
        <f t="shared" si="75"/>
        <v>0</v>
      </c>
      <c r="U407" s="79">
        <f t="shared" si="76"/>
        <v>0</v>
      </c>
      <c r="V407" s="79">
        <f t="shared" si="77"/>
        <v>0</v>
      </c>
      <c r="W407" s="79">
        <f t="shared" si="78"/>
        <v>0</v>
      </c>
      <c r="X407" s="79">
        <f t="shared" si="79"/>
        <v>0</v>
      </c>
      <c r="Y407" s="79">
        <f t="shared" si="83"/>
        <v>173145.40000000002</v>
      </c>
    </row>
    <row r="408" spans="8:25">
      <c r="H408" s="78">
        <v>358</v>
      </c>
      <c r="I408" s="77">
        <f>IFERROR(EOMONTH(DATE($C$10,$C$9,1),358-1),"")</f>
        <v>55823</v>
      </c>
      <c r="J408" s="76">
        <f t="shared" si="80"/>
        <v>0</v>
      </c>
      <c r="K408" s="76">
        <f t="shared" si="70"/>
        <v>0</v>
      </c>
      <c r="L408" s="76">
        <f t="shared" si="71"/>
        <v>0</v>
      </c>
      <c r="M408" s="76">
        <f t="shared" si="72"/>
        <v>0</v>
      </c>
      <c r="N408" s="76">
        <f t="shared" si="73"/>
        <v>0</v>
      </c>
      <c r="O408" s="76">
        <f t="shared" si="74"/>
        <v>0</v>
      </c>
      <c r="P408" s="76">
        <f t="shared" si="81"/>
        <v>94193.249999999898</v>
      </c>
      <c r="Q408" s="78">
        <v>358</v>
      </c>
      <c r="R408" s="77">
        <f>IFERROR(EOMONTH(DATE($F$10,$F$9,1),358-1),"")</f>
        <v>55823</v>
      </c>
      <c r="S408" s="76">
        <f t="shared" si="82"/>
        <v>0</v>
      </c>
      <c r="T408" s="76">
        <f t="shared" si="75"/>
        <v>0</v>
      </c>
      <c r="U408" s="76">
        <f t="shared" si="76"/>
        <v>0</v>
      </c>
      <c r="V408" s="76">
        <f t="shared" si="77"/>
        <v>0</v>
      </c>
      <c r="W408" s="76">
        <f t="shared" si="78"/>
        <v>0</v>
      </c>
      <c r="X408" s="76">
        <f t="shared" si="79"/>
        <v>0</v>
      </c>
      <c r="Y408" s="76">
        <f t="shared" si="83"/>
        <v>173145.40000000002</v>
      </c>
    </row>
    <row r="409" spans="8:25">
      <c r="H409" s="84">
        <v>359</v>
      </c>
      <c r="I409" s="83">
        <f>IFERROR(EOMONTH(DATE($C$10,$C$9,1),359-1),"")</f>
        <v>55853</v>
      </c>
      <c r="J409" s="82">
        <f t="shared" si="80"/>
        <v>0</v>
      </c>
      <c r="K409" s="82">
        <f t="shared" si="70"/>
        <v>0</v>
      </c>
      <c r="L409" s="82">
        <f t="shared" si="71"/>
        <v>0</v>
      </c>
      <c r="M409" s="82">
        <f t="shared" si="72"/>
        <v>0</v>
      </c>
      <c r="N409" s="82">
        <f t="shared" si="73"/>
        <v>0</v>
      </c>
      <c r="O409" s="82">
        <f t="shared" si="74"/>
        <v>0</v>
      </c>
      <c r="P409" s="82">
        <f t="shared" si="81"/>
        <v>94193.249999999898</v>
      </c>
      <c r="Q409" s="81">
        <v>359</v>
      </c>
      <c r="R409" s="80">
        <f>IFERROR(EOMONTH(DATE($F$10,$F$9,1),359-1),"")</f>
        <v>55853</v>
      </c>
      <c r="S409" s="79">
        <f t="shared" si="82"/>
        <v>0</v>
      </c>
      <c r="T409" s="79">
        <f t="shared" si="75"/>
        <v>0</v>
      </c>
      <c r="U409" s="79">
        <f t="shared" si="76"/>
        <v>0</v>
      </c>
      <c r="V409" s="79">
        <f t="shared" si="77"/>
        <v>0</v>
      </c>
      <c r="W409" s="79">
        <f t="shared" si="78"/>
        <v>0</v>
      </c>
      <c r="X409" s="79">
        <f t="shared" si="79"/>
        <v>0</v>
      </c>
      <c r="Y409" s="79">
        <f t="shared" si="83"/>
        <v>173145.40000000002</v>
      </c>
    </row>
    <row r="410" spans="8:25">
      <c r="H410" s="78">
        <v>360</v>
      </c>
      <c r="I410" s="77">
        <f>IFERROR(EOMONTH(DATE($C$10,$C$9,1),360-1),"")</f>
        <v>55884</v>
      </c>
      <c r="J410" s="76">
        <f t="shared" si="80"/>
        <v>0</v>
      </c>
      <c r="K410" s="76">
        <f t="shared" si="70"/>
        <v>0</v>
      </c>
      <c r="L410" s="76">
        <f t="shared" si="71"/>
        <v>0</v>
      </c>
      <c r="M410" s="76">
        <f t="shared" si="72"/>
        <v>0</v>
      </c>
      <c r="N410" s="76">
        <f t="shared" si="73"/>
        <v>0</v>
      </c>
      <c r="O410" s="76">
        <f t="shared" si="74"/>
        <v>0</v>
      </c>
      <c r="P410" s="76">
        <f t="shared" si="81"/>
        <v>94193.249999999898</v>
      </c>
      <c r="Q410" s="78">
        <v>360</v>
      </c>
      <c r="R410" s="77">
        <f>IFERROR(EOMONTH(DATE($F$10,$F$9,1),360-1),"")</f>
        <v>55884</v>
      </c>
      <c r="S410" s="76">
        <f t="shared" si="82"/>
        <v>0</v>
      </c>
      <c r="T410" s="76">
        <f t="shared" si="75"/>
        <v>0</v>
      </c>
      <c r="U410" s="76">
        <f t="shared" si="76"/>
        <v>0</v>
      </c>
      <c r="V410" s="76">
        <f t="shared" si="77"/>
        <v>0</v>
      </c>
      <c r="W410" s="76">
        <f t="shared" si="78"/>
        <v>0</v>
      </c>
      <c r="X410" s="76">
        <f t="shared" si="79"/>
        <v>0</v>
      </c>
      <c r="Y410" s="76">
        <f t="shared" si="83"/>
        <v>173145.40000000002</v>
      </c>
    </row>
    <row r="411" spans="8:25">
      <c r="H411" s="84">
        <v>361</v>
      </c>
      <c r="I411" s="83">
        <f>IFERROR(EOMONTH(DATE($C$10,$C$9,1),361-1),"")</f>
        <v>55915</v>
      </c>
      <c r="J411" s="82">
        <f t="shared" si="80"/>
        <v>0</v>
      </c>
      <c r="K411" s="82">
        <f t="shared" si="70"/>
        <v>0</v>
      </c>
      <c r="L411" s="82">
        <f t="shared" si="71"/>
        <v>0</v>
      </c>
      <c r="M411" s="82">
        <f t="shared" si="72"/>
        <v>0</v>
      </c>
      <c r="N411" s="82">
        <f t="shared" si="73"/>
        <v>0</v>
      </c>
      <c r="O411" s="82">
        <f t="shared" si="74"/>
        <v>0</v>
      </c>
      <c r="P411" s="82">
        <f t="shared" si="81"/>
        <v>94193.249999999898</v>
      </c>
      <c r="Q411" s="81">
        <v>361</v>
      </c>
      <c r="R411" s="80">
        <f>IFERROR(EOMONTH(DATE($F$10,$F$9,1),361-1),"")</f>
        <v>55915</v>
      </c>
      <c r="S411" s="79">
        <f t="shared" si="82"/>
        <v>0</v>
      </c>
      <c r="T411" s="79">
        <f t="shared" si="75"/>
        <v>0</v>
      </c>
      <c r="U411" s="79">
        <f t="shared" si="76"/>
        <v>0</v>
      </c>
      <c r="V411" s="79">
        <f t="shared" si="77"/>
        <v>0</v>
      </c>
      <c r="W411" s="79">
        <f t="shared" si="78"/>
        <v>0</v>
      </c>
      <c r="X411" s="79">
        <f t="shared" si="79"/>
        <v>0</v>
      </c>
      <c r="Y411" s="79">
        <f t="shared" si="83"/>
        <v>173145.40000000002</v>
      </c>
    </row>
    <row r="412" spans="8:25">
      <c r="H412" s="78">
        <v>362</v>
      </c>
      <c r="I412" s="77">
        <f>IFERROR(EOMONTH(DATE($C$10,$C$9,1),362-1),"")</f>
        <v>55943</v>
      </c>
      <c r="J412" s="76">
        <f t="shared" si="80"/>
        <v>0</v>
      </c>
      <c r="K412" s="76">
        <f t="shared" si="70"/>
        <v>0</v>
      </c>
      <c r="L412" s="76">
        <f t="shared" si="71"/>
        <v>0</v>
      </c>
      <c r="M412" s="76">
        <f t="shared" si="72"/>
        <v>0</v>
      </c>
      <c r="N412" s="76">
        <f t="shared" si="73"/>
        <v>0</v>
      </c>
      <c r="O412" s="76">
        <f t="shared" si="74"/>
        <v>0</v>
      </c>
      <c r="P412" s="76">
        <f t="shared" si="81"/>
        <v>94193.249999999898</v>
      </c>
      <c r="Q412" s="78">
        <v>362</v>
      </c>
      <c r="R412" s="77">
        <f>IFERROR(EOMONTH(DATE($F$10,$F$9,1),362-1),"")</f>
        <v>55943</v>
      </c>
      <c r="S412" s="76">
        <f t="shared" si="82"/>
        <v>0</v>
      </c>
      <c r="T412" s="76">
        <f t="shared" si="75"/>
        <v>0</v>
      </c>
      <c r="U412" s="76">
        <f t="shared" si="76"/>
        <v>0</v>
      </c>
      <c r="V412" s="76">
        <f t="shared" si="77"/>
        <v>0</v>
      </c>
      <c r="W412" s="76">
        <f t="shared" si="78"/>
        <v>0</v>
      </c>
      <c r="X412" s="76">
        <f t="shared" si="79"/>
        <v>0</v>
      </c>
      <c r="Y412" s="76">
        <f t="shared" si="83"/>
        <v>173145.40000000002</v>
      </c>
    </row>
    <row r="413" spans="8:25">
      <c r="H413" s="84">
        <v>363</v>
      </c>
      <c r="I413" s="83">
        <f>IFERROR(EOMONTH(DATE($C$10,$C$9,1),363-1),"")</f>
        <v>55974</v>
      </c>
      <c r="J413" s="82">
        <f t="shared" si="80"/>
        <v>0</v>
      </c>
      <c r="K413" s="82">
        <f t="shared" si="70"/>
        <v>0</v>
      </c>
      <c r="L413" s="82">
        <f t="shared" si="71"/>
        <v>0</v>
      </c>
      <c r="M413" s="82">
        <f t="shared" si="72"/>
        <v>0</v>
      </c>
      <c r="N413" s="82">
        <f t="shared" si="73"/>
        <v>0</v>
      </c>
      <c r="O413" s="82">
        <f t="shared" si="74"/>
        <v>0</v>
      </c>
      <c r="P413" s="82">
        <f t="shared" si="81"/>
        <v>94193.249999999898</v>
      </c>
      <c r="Q413" s="81">
        <v>363</v>
      </c>
      <c r="R413" s="80">
        <f>IFERROR(EOMONTH(DATE($F$10,$F$9,1),363-1),"")</f>
        <v>55974</v>
      </c>
      <c r="S413" s="79">
        <f t="shared" si="82"/>
        <v>0</v>
      </c>
      <c r="T413" s="79">
        <f t="shared" si="75"/>
        <v>0</v>
      </c>
      <c r="U413" s="79">
        <f t="shared" si="76"/>
        <v>0</v>
      </c>
      <c r="V413" s="79">
        <f t="shared" si="77"/>
        <v>0</v>
      </c>
      <c r="W413" s="79">
        <f t="shared" si="78"/>
        <v>0</v>
      </c>
      <c r="X413" s="79">
        <f t="shared" si="79"/>
        <v>0</v>
      </c>
      <c r="Y413" s="79">
        <f t="shared" si="83"/>
        <v>173145.40000000002</v>
      </c>
    </row>
    <row r="414" spans="8:25">
      <c r="H414" s="78">
        <v>364</v>
      </c>
      <c r="I414" s="77">
        <f>IFERROR(EOMONTH(DATE($C$10,$C$9,1),364-1),"")</f>
        <v>56004</v>
      </c>
      <c r="J414" s="76">
        <f t="shared" si="80"/>
        <v>0</v>
      </c>
      <c r="K414" s="76">
        <f t="shared" si="70"/>
        <v>0</v>
      </c>
      <c r="L414" s="76">
        <f t="shared" si="71"/>
        <v>0</v>
      </c>
      <c r="M414" s="76">
        <f t="shared" si="72"/>
        <v>0</v>
      </c>
      <c r="N414" s="76">
        <f t="shared" si="73"/>
        <v>0</v>
      </c>
      <c r="O414" s="76">
        <f t="shared" si="74"/>
        <v>0</v>
      </c>
      <c r="P414" s="76">
        <f t="shared" si="81"/>
        <v>94193.249999999898</v>
      </c>
      <c r="Q414" s="78">
        <v>364</v>
      </c>
      <c r="R414" s="77">
        <f>IFERROR(EOMONTH(DATE($F$10,$F$9,1),364-1),"")</f>
        <v>56004</v>
      </c>
      <c r="S414" s="76">
        <f t="shared" si="82"/>
        <v>0</v>
      </c>
      <c r="T414" s="76">
        <f t="shared" si="75"/>
        <v>0</v>
      </c>
      <c r="U414" s="76">
        <f t="shared" si="76"/>
        <v>0</v>
      </c>
      <c r="V414" s="76">
        <f t="shared" si="77"/>
        <v>0</v>
      </c>
      <c r="W414" s="76">
        <f t="shared" si="78"/>
        <v>0</v>
      </c>
      <c r="X414" s="76">
        <f t="shared" si="79"/>
        <v>0</v>
      </c>
      <c r="Y414" s="76">
        <f t="shared" si="83"/>
        <v>173145.40000000002</v>
      </c>
    </row>
    <row r="415" spans="8:25">
      <c r="H415" s="84">
        <v>365</v>
      </c>
      <c r="I415" s="83">
        <f>IFERROR(EOMONTH(DATE($C$10,$C$9,1),365-1),"")</f>
        <v>56035</v>
      </c>
      <c r="J415" s="82">
        <f t="shared" si="80"/>
        <v>0</v>
      </c>
      <c r="K415" s="82">
        <f t="shared" si="70"/>
        <v>0</v>
      </c>
      <c r="L415" s="82">
        <f t="shared" si="71"/>
        <v>0</v>
      </c>
      <c r="M415" s="82">
        <f t="shared" si="72"/>
        <v>0</v>
      </c>
      <c r="N415" s="82">
        <f t="shared" si="73"/>
        <v>0</v>
      </c>
      <c r="O415" s="82">
        <f t="shared" si="74"/>
        <v>0</v>
      </c>
      <c r="P415" s="82">
        <f t="shared" si="81"/>
        <v>94193.249999999898</v>
      </c>
      <c r="Q415" s="81">
        <v>365</v>
      </c>
      <c r="R415" s="80">
        <f>IFERROR(EOMONTH(DATE($F$10,$F$9,1),365-1),"")</f>
        <v>56035</v>
      </c>
      <c r="S415" s="79">
        <f t="shared" si="82"/>
        <v>0</v>
      </c>
      <c r="T415" s="79">
        <f t="shared" si="75"/>
        <v>0</v>
      </c>
      <c r="U415" s="79">
        <f t="shared" si="76"/>
        <v>0</v>
      </c>
      <c r="V415" s="79">
        <f t="shared" si="77"/>
        <v>0</v>
      </c>
      <c r="W415" s="79">
        <f t="shared" si="78"/>
        <v>0</v>
      </c>
      <c r="X415" s="79">
        <f t="shared" si="79"/>
        <v>0</v>
      </c>
      <c r="Y415" s="79">
        <f t="shared" si="83"/>
        <v>173145.40000000002</v>
      </c>
    </row>
    <row r="416" spans="8:25">
      <c r="H416" s="78">
        <v>366</v>
      </c>
      <c r="I416" s="77">
        <f>IFERROR(EOMONTH(DATE($C$10,$C$9,1),366-1),"")</f>
        <v>56065</v>
      </c>
      <c r="J416" s="76">
        <f t="shared" si="80"/>
        <v>0</v>
      </c>
      <c r="K416" s="76">
        <f t="shared" si="70"/>
        <v>0</v>
      </c>
      <c r="L416" s="76">
        <f t="shared" si="71"/>
        <v>0</v>
      </c>
      <c r="M416" s="76">
        <f t="shared" si="72"/>
        <v>0</v>
      </c>
      <c r="N416" s="76">
        <f t="shared" si="73"/>
        <v>0</v>
      </c>
      <c r="O416" s="76">
        <f t="shared" si="74"/>
        <v>0</v>
      </c>
      <c r="P416" s="76">
        <f t="shared" si="81"/>
        <v>94193.249999999898</v>
      </c>
      <c r="Q416" s="78">
        <v>366</v>
      </c>
      <c r="R416" s="77">
        <f>IFERROR(EOMONTH(DATE($F$10,$F$9,1),366-1),"")</f>
        <v>56065</v>
      </c>
      <c r="S416" s="76">
        <f t="shared" si="82"/>
        <v>0</v>
      </c>
      <c r="T416" s="76">
        <f t="shared" si="75"/>
        <v>0</v>
      </c>
      <c r="U416" s="76">
        <f t="shared" si="76"/>
        <v>0</v>
      </c>
      <c r="V416" s="76">
        <f t="shared" si="77"/>
        <v>0</v>
      </c>
      <c r="W416" s="76">
        <f t="shared" si="78"/>
        <v>0</v>
      </c>
      <c r="X416" s="76">
        <f t="shared" si="79"/>
        <v>0</v>
      </c>
      <c r="Y416" s="76">
        <f t="shared" si="83"/>
        <v>173145.40000000002</v>
      </c>
    </row>
    <row r="417" spans="8:25">
      <c r="H417" s="84">
        <v>367</v>
      </c>
      <c r="I417" s="83">
        <f>IFERROR(EOMONTH(DATE($C$10,$C$9,1),367-1),"")</f>
        <v>56096</v>
      </c>
      <c r="J417" s="82">
        <f t="shared" si="80"/>
        <v>0</v>
      </c>
      <c r="K417" s="82">
        <f t="shared" si="70"/>
        <v>0</v>
      </c>
      <c r="L417" s="82">
        <f t="shared" si="71"/>
        <v>0</v>
      </c>
      <c r="M417" s="82">
        <f t="shared" si="72"/>
        <v>0</v>
      </c>
      <c r="N417" s="82">
        <f t="shared" si="73"/>
        <v>0</v>
      </c>
      <c r="O417" s="82">
        <f t="shared" si="74"/>
        <v>0</v>
      </c>
      <c r="P417" s="82">
        <f t="shared" si="81"/>
        <v>94193.249999999898</v>
      </c>
      <c r="Q417" s="81">
        <v>367</v>
      </c>
      <c r="R417" s="80">
        <f>IFERROR(EOMONTH(DATE($F$10,$F$9,1),367-1),"")</f>
        <v>56096</v>
      </c>
      <c r="S417" s="79">
        <f t="shared" si="82"/>
        <v>0</v>
      </c>
      <c r="T417" s="79">
        <f t="shared" si="75"/>
        <v>0</v>
      </c>
      <c r="U417" s="79">
        <f t="shared" si="76"/>
        <v>0</v>
      </c>
      <c r="V417" s="79">
        <f t="shared" si="77"/>
        <v>0</v>
      </c>
      <c r="W417" s="79">
        <f t="shared" si="78"/>
        <v>0</v>
      </c>
      <c r="X417" s="79">
        <f t="shared" si="79"/>
        <v>0</v>
      </c>
      <c r="Y417" s="79">
        <f t="shared" si="83"/>
        <v>173145.40000000002</v>
      </c>
    </row>
    <row r="418" spans="8:25">
      <c r="H418" s="78">
        <v>368</v>
      </c>
      <c r="I418" s="77">
        <f>IFERROR(EOMONTH(DATE($C$10,$C$9,1),368-1),"")</f>
        <v>56127</v>
      </c>
      <c r="J418" s="76">
        <f t="shared" si="80"/>
        <v>0</v>
      </c>
      <c r="K418" s="76">
        <f t="shared" si="70"/>
        <v>0</v>
      </c>
      <c r="L418" s="76">
        <f t="shared" si="71"/>
        <v>0</v>
      </c>
      <c r="M418" s="76">
        <f t="shared" si="72"/>
        <v>0</v>
      </c>
      <c r="N418" s="76">
        <f t="shared" si="73"/>
        <v>0</v>
      </c>
      <c r="O418" s="76">
        <f t="shared" si="74"/>
        <v>0</v>
      </c>
      <c r="P418" s="76">
        <f t="shared" si="81"/>
        <v>94193.249999999898</v>
      </c>
      <c r="Q418" s="78">
        <v>368</v>
      </c>
      <c r="R418" s="77">
        <f>IFERROR(EOMONTH(DATE($F$10,$F$9,1),368-1),"")</f>
        <v>56127</v>
      </c>
      <c r="S418" s="76">
        <f t="shared" si="82"/>
        <v>0</v>
      </c>
      <c r="T418" s="76">
        <f t="shared" si="75"/>
        <v>0</v>
      </c>
      <c r="U418" s="76">
        <f t="shared" si="76"/>
        <v>0</v>
      </c>
      <c r="V418" s="76">
        <f t="shared" si="77"/>
        <v>0</v>
      </c>
      <c r="W418" s="76">
        <f t="shared" si="78"/>
        <v>0</v>
      </c>
      <c r="X418" s="76">
        <f t="shared" si="79"/>
        <v>0</v>
      </c>
      <c r="Y418" s="76">
        <f t="shared" si="83"/>
        <v>173145.40000000002</v>
      </c>
    </row>
    <row r="419" spans="8:25">
      <c r="H419" s="84">
        <v>369</v>
      </c>
      <c r="I419" s="83">
        <f>IFERROR(EOMONTH(DATE($C$10,$C$9,1),369-1),"")</f>
        <v>56157</v>
      </c>
      <c r="J419" s="82">
        <f t="shared" si="80"/>
        <v>0</v>
      </c>
      <c r="K419" s="82">
        <f t="shared" si="70"/>
        <v>0</v>
      </c>
      <c r="L419" s="82">
        <f t="shared" si="71"/>
        <v>0</v>
      </c>
      <c r="M419" s="82">
        <f t="shared" si="72"/>
        <v>0</v>
      </c>
      <c r="N419" s="82">
        <f t="shared" si="73"/>
        <v>0</v>
      </c>
      <c r="O419" s="82">
        <f t="shared" si="74"/>
        <v>0</v>
      </c>
      <c r="P419" s="82">
        <f t="shared" si="81"/>
        <v>94193.249999999898</v>
      </c>
      <c r="Q419" s="81">
        <v>369</v>
      </c>
      <c r="R419" s="80">
        <f>IFERROR(EOMONTH(DATE($F$10,$F$9,1),369-1),"")</f>
        <v>56157</v>
      </c>
      <c r="S419" s="79">
        <f t="shared" si="82"/>
        <v>0</v>
      </c>
      <c r="T419" s="79">
        <f t="shared" si="75"/>
        <v>0</v>
      </c>
      <c r="U419" s="79">
        <f t="shared" si="76"/>
        <v>0</v>
      </c>
      <c r="V419" s="79">
        <f t="shared" si="77"/>
        <v>0</v>
      </c>
      <c r="W419" s="79">
        <f t="shared" si="78"/>
        <v>0</v>
      </c>
      <c r="X419" s="79">
        <f t="shared" si="79"/>
        <v>0</v>
      </c>
      <c r="Y419" s="79">
        <f t="shared" si="83"/>
        <v>173145.40000000002</v>
      </c>
    </row>
    <row r="420" spans="8:25">
      <c r="H420" s="78">
        <v>370</v>
      </c>
      <c r="I420" s="77">
        <f>IFERROR(EOMONTH(DATE($C$10,$C$9,1),370-1),"")</f>
        <v>56188</v>
      </c>
      <c r="J420" s="76">
        <f t="shared" si="80"/>
        <v>0</v>
      </c>
      <c r="K420" s="76">
        <f t="shared" si="70"/>
        <v>0</v>
      </c>
      <c r="L420" s="76">
        <f t="shared" si="71"/>
        <v>0</v>
      </c>
      <c r="M420" s="76">
        <f t="shared" si="72"/>
        <v>0</v>
      </c>
      <c r="N420" s="76">
        <f t="shared" si="73"/>
        <v>0</v>
      </c>
      <c r="O420" s="76">
        <f t="shared" si="74"/>
        <v>0</v>
      </c>
      <c r="P420" s="76">
        <f t="shared" si="81"/>
        <v>94193.249999999898</v>
      </c>
      <c r="Q420" s="78">
        <v>370</v>
      </c>
      <c r="R420" s="77">
        <f>IFERROR(EOMONTH(DATE($F$10,$F$9,1),370-1),"")</f>
        <v>56188</v>
      </c>
      <c r="S420" s="76">
        <f t="shared" si="82"/>
        <v>0</v>
      </c>
      <c r="T420" s="76">
        <f t="shared" si="75"/>
        <v>0</v>
      </c>
      <c r="U420" s="76">
        <f t="shared" si="76"/>
        <v>0</v>
      </c>
      <c r="V420" s="76">
        <f t="shared" si="77"/>
        <v>0</v>
      </c>
      <c r="W420" s="76">
        <f t="shared" si="78"/>
        <v>0</v>
      </c>
      <c r="X420" s="76">
        <f t="shared" si="79"/>
        <v>0</v>
      </c>
      <c r="Y420" s="76">
        <f t="shared" si="83"/>
        <v>173145.40000000002</v>
      </c>
    </row>
    <row r="421" spans="8:25">
      <c r="H421" s="84">
        <v>371</v>
      </c>
      <c r="I421" s="83">
        <f>IFERROR(EOMONTH(DATE($C$10,$C$9,1),371-1),"")</f>
        <v>56218</v>
      </c>
      <c r="J421" s="82">
        <f t="shared" si="80"/>
        <v>0</v>
      </c>
      <c r="K421" s="82">
        <f t="shared" si="70"/>
        <v>0</v>
      </c>
      <c r="L421" s="82">
        <f t="shared" si="71"/>
        <v>0</v>
      </c>
      <c r="M421" s="82">
        <f t="shared" si="72"/>
        <v>0</v>
      </c>
      <c r="N421" s="82">
        <f t="shared" si="73"/>
        <v>0</v>
      </c>
      <c r="O421" s="82">
        <f t="shared" si="74"/>
        <v>0</v>
      </c>
      <c r="P421" s="82">
        <f t="shared" si="81"/>
        <v>94193.249999999898</v>
      </c>
      <c r="Q421" s="81">
        <v>371</v>
      </c>
      <c r="R421" s="80">
        <f>IFERROR(EOMONTH(DATE($F$10,$F$9,1),371-1),"")</f>
        <v>56218</v>
      </c>
      <c r="S421" s="79">
        <f t="shared" si="82"/>
        <v>0</v>
      </c>
      <c r="T421" s="79">
        <f t="shared" si="75"/>
        <v>0</v>
      </c>
      <c r="U421" s="79">
        <f t="shared" si="76"/>
        <v>0</v>
      </c>
      <c r="V421" s="79">
        <f t="shared" si="77"/>
        <v>0</v>
      </c>
      <c r="W421" s="79">
        <f t="shared" si="78"/>
        <v>0</v>
      </c>
      <c r="X421" s="79">
        <f t="shared" si="79"/>
        <v>0</v>
      </c>
      <c r="Y421" s="79">
        <f t="shared" si="83"/>
        <v>173145.40000000002</v>
      </c>
    </row>
    <row r="422" spans="8:25">
      <c r="H422" s="78">
        <v>372</v>
      </c>
      <c r="I422" s="77">
        <f>IFERROR(EOMONTH(DATE($C$10,$C$9,1),372-1),"")</f>
        <v>56249</v>
      </c>
      <c r="J422" s="76">
        <f t="shared" si="80"/>
        <v>0</v>
      </c>
      <c r="K422" s="76">
        <f t="shared" si="70"/>
        <v>0</v>
      </c>
      <c r="L422" s="76">
        <f t="shared" si="71"/>
        <v>0</v>
      </c>
      <c r="M422" s="76">
        <f t="shared" si="72"/>
        <v>0</v>
      </c>
      <c r="N422" s="76">
        <f t="shared" si="73"/>
        <v>0</v>
      </c>
      <c r="O422" s="76">
        <f t="shared" si="74"/>
        <v>0</v>
      </c>
      <c r="P422" s="76">
        <f t="shared" si="81"/>
        <v>94193.249999999898</v>
      </c>
      <c r="Q422" s="78">
        <v>372</v>
      </c>
      <c r="R422" s="77">
        <f>IFERROR(EOMONTH(DATE($F$10,$F$9,1),372-1),"")</f>
        <v>56249</v>
      </c>
      <c r="S422" s="76">
        <f t="shared" si="82"/>
        <v>0</v>
      </c>
      <c r="T422" s="76">
        <f t="shared" si="75"/>
        <v>0</v>
      </c>
      <c r="U422" s="76">
        <f t="shared" si="76"/>
        <v>0</v>
      </c>
      <c r="V422" s="76">
        <f t="shared" si="77"/>
        <v>0</v>
      </c>
      <c r="W422" s="76">
        <f t="shared" si="78"/>
        <v>0</v>
      </c>
      <c r="X422" s="76">
        <f t="shared" si="79"/>
        <v>0</v>
      </c>
      <c r="Y422" s="76">
        <f t="shared" si="83"/>
        <v>173145.40000000002</v>
      </c>
    </row>
    <row r="423" spans="8:25">
      <c r="H423" s="84">
        <v>373</v>
      </c>
      <c r="I423" s="83">
        <f>IFERROR(EOMONTH(DATE($C$10,$C$9,1),373-1),"")</f>
        <v>56280</v>
      </c>
      <c r="J423" s="82">
        <f t="shared" si="80"/>
        <v>0</v>
      </c>
      <c r="K423" s="82">
        <f t="shared" si="70"/>
        <v>0</v>
      </c>
      <c r="L423" s="82">
        <f t="shared" si="71"/>
        <v>0</v>
      </c>
      <c r="M423" s="82">
        <f t="shared" si="72"/>
        <v>0</v>
      </c>
      <c r="N423" s="82">
        <f t="shared" si="73"/>
        <v>0</v>
      </c>
      <c r="O423" s="82">
        <f t="shared" si="74"/>
        <v>0</v>
      </c>
      <c r="P423" s="82">
        <f t="shared" si="81"/>
        <v>94193.249999999898</v>
      </c>
      <c r="Q423" s="81">
        <v>373</v>
      </c>
      <c r="R423" s="80">
        <f>IFERROR(EOMONTH(DATE($F$10,$F$9,1),373-1),"")</f>
        <v>56280</v>
      </c>
      <c r="S423" s="79">
        <f t="shared" si="82"/>
        <v>0</v>
      </c>
      <c r="T423" s="79">
        <f t="shared" si="75"/>
        <v>0</v>
      </c>
      <c r="U423" s="79">
        <f t="shared" si="76"/>
        <v>0</v>
      </c>
      <c r="V423" s="79">
        <f t="shared" si="77"/>
        <v>0</v>
      </c>
      <c r="W423" s="79">
        <f t="shared" si="78"/>
        <v>0</v>
      </c>
      <c r="X423" s="79">
        <f t="shared" si="79"/>
        <v>0</v>
      </c>
      <c r="Y423" s="79">
        <f t="shared" si="83"/>
        <v>173145.40000000002</v>
      </c>
    </row>
    <row r="424" spans="8:25">
      <c r="H424" s="78">
        <v>374</v>
      </c>
      <c r="I424" s="77">
        <f>IFERROR(EOMONTH(DATE($C$10,$C$9,1),374-1),"")</f>
        <v>56308</v>
      </c>
      <c r="J424" s="76">
        <f t="shared" si="80"/>
        <v>0</v>
      </c>
      <c r="K424" s="76">
        <f t="shared" si="70"/>
        <v>0</v>
      </c>
      <c r="L424" s="76">
        <f t="shared" si="71"/>
        <v>0</v>
      </c>
      <c r="M424" s="76">
        <f t="shared" si="72"/>
        <v>0</v>
      </c>
      <c r="N424" s="76">
        <f t="shared" si="73"/>
        <v>0</v>
      </c>
      <c r="O424" s="76">
        <f t="shared" si="74"/>
        <v>0</v>
      </c>
      <c r="P424" s="76">
        <f t="shared" si="81"/>
        <v>94193.249999999898</v>
      </c>
      <c r="Q424" s="78">
        <v>374</v>
      </c>
      <c r="R424" s="77">
        <f>IFERROR(EOMONTH(DATE($F$10,$F$9,1),374-1),"")</f>
        <v>56308</v>
      </c>
      <c r="S424" s="76">
        <f t="shared" si="82"/>
        <v>0</v>
      </c>
      <c r="T424" s="76">
        <f t="shared" si="75"/>
        <v>0</v>
      </c>
      <c r="U424" s="76">
        <f t="shared" si="76"/>
        <v>0</v>
      </c>
      <c r="V424" s="76">
        <f t="shared" si="77"/>
        <v>0</v>
      </c>
      <c r="W424" s="76">
        <f t="shared" si="78"/>
        <v>0</v>
      </c>
      <c r="X424" s="76">
        <f t="shared" si="79"/>
        <v>0</v>
      </c>
      <c r="Y424" s="76">
        <f t="shared" si="83"/>
        <v>173145.40000000002</v>
      </c>
    </row>
    <row r="425" spans="8:25">
      <c r="H425" s="84">
        <v>375</v>
      </c>
      <c r="I425" s="83">
        <f>IFERROR(EOMONTH(DATE($C$10,$C$9,1),375-1),"")</f>
        <v>56339</v>
      </c>
      <c r="J425" s="82">
        <f t="shared" si="80"/>
        <v>0</v>
      </c>
      <c r="K425" s="82">
        <f t="shared" si="70"/>
        <v>0</v>
      </c>
      <c r="L425" s="82">
        <f t="shared" si="71"/>
        <v>0</v>
      </c>
      <c r="M425" s="82">
        <f t="shared" si="72"/>
        <v>0</v>
      </c>
      <c r="N425" s="82">
        <f t="shared" si="73"/>
        <v>0</v>
      </c>
      <c r="O425" s="82">
        <f t="shared" si="74"/>
        <v>0</v>
      </c>
      <c r="P425" s="82">
        <f t="shared" si="81"/>
        <v>94193.249999999898</v>
      </c>
      <c r="Q425" s="81">
        <v>375</v>
      </c>
      <c r="R425" s="80">
        <f>IFERROR(EOMONTH(DATE($F$10,$F$9,1),375-1),"")</f>
        <v>56339</v>
      </c>
      <c r="S425" s="79">
        <f t="shared" si="82"/>
        <v>0</v>
      </c>
      <c r="T425" s="79">
        <f t="shared" si="75"/>
        <v>0</v>
      </c>
      <c r="U425" s="79">
        <f t="shared" si="76"/>
        <v>0</v>
      </c>
      <c r="V425" s="79">
        <f t="shared" si="77"/>
        <v>0</v>
      </c>
      <c r="W425" s="79">
        <f t="shared" si="78"/>
        <v>0</v>
      </c>
      <c r="X425" s="79">
        <f t="shared" si="79"/>
        <v>0</v>
      </c>
      <c r="Y425" s="79">
        <f t="shared" si="83"/>
        <v>173145.40000000002</v>
      </c>
    </row>
    <row r="426" spans="8:25">
      <c r="H426" s="78">
        <v>376</v>
      </c>
      <c r="I426" s="77">
        <f>IFERROR(EOMONTH(DATE($C$10,$C$9,1),376-1),"")</f>
        <v>56369</v>
      </c>
      <c r="J426" s="76">
        <f t="shared" si="80"/>
        <v>0</v>
      </c>
      <c r="K426" s="76">
        <f t="shared" si="70"/>
        <v>0</v>
      </c>
      <c r="L426" s="76">
        <f t="shared" si="71"/>
        <v>0</v>
      </c>
      <c r="M426" s="76">
        <f t="shared" si="72"/>
        <v>0</v>
      </c>
      <c r="N426" s="76">
        <f t="shared" si="73"/>
        <v>0</v>
      </c>
      <c r="O426" s="76">
        <f t="shared" si="74"/>
        <v>0</v>
      </c>
      <c r="P426" s="76">
        <f t="shared" si="81"/>
        <v>94193.249999999898</v>
      </c>
      <c r="Q426" s="78">
        <v>376</v>
      </c>
      <c r="R426" s="77">
        <f>IFERROR(EOMONTH(DATE($F$10,$F$9,1),376-1),"")</f>
        <v>56369</v>
      </c>
      <c r="S426" s="76">
        <f t="shared" si="82"/>
        <v>0</v>
      </c>
      <c r="T426" s="76">
        <f t="shared" si="75"/>
        <v>0</v>
      </c>
      <c r="U426" s="76">
        <f t="shared" si="76"/>
        <v>0</v>
      </c>
      <c r="V426" s="76">
        <f t="shared" si="77"/>
        <v>0</v>
      </c>
      <c r="W426" s="76">
        <f t="shared" si="78"/>
        <v>0</v>
      </c>
      <c r="X426" s="76">
        <f t="shared" si="79"/>
        <v>0</v>
      </c>
      <c r="Y426" s="76">
        <f t="shared" si="83"/>
        <v>173145.40000000002</v>
      </c>
    </row>
    <row r="427" spans="8:25">
      <c r="H427" s="84">
        <v>377</v>
      </c>
      <c r="I427" s="83">
        <f>IFERROR(EOMONTH(DATE($C$10,$C$9,1),377-1),"")</f>
        <v>56400</v>
      </c>
      <c r="J427" s="82">
        <f t="shared" si="80"/>
        <v>0</v>
      </c>
      <c r="K427" s="82">
        <f t="shared" si="70"/>
        <v>0</v>
      </c>
      <c r="L427" s="82">
        <f t="shared" si="71"/>
        <v>0</v>
      </c>
      <c r="M427" s="82">
        <f t="shared" si="72"/>
        <v>0</v>
      </c>
      <c r="N427" s="82">
        <f t="shared" si="73"/>
        <v>0</v>
      </c>
      <c r="O427" s="82">
        <f t="shared" si="74"/>
        <v>0</v>
      </c>
      <c r="P427" s="82">
        <f t="shared" si="81"/>
        <v>94193.249999999898</v>
      </c>
      <c r="Q427" s="81">
        <v>377</v>
      </c>
      <c r="R427" s="80">
        <f>IFERROR(EOMONTH(DATE($F$10,$F$9,1),377-1),"")</f>
        <v>56400</v>
      </c>
      <c r="S427" s="79">
        <f t="shared" si="82"/>
        <v>0</v>
      </c>
      <c r="T427" s="79">
        <f t="shared" si="75"/>
        <v>0</v>
      </c>
      <c r="U427" s="79">
        <f t="shared" si="76"/>
        <v>0</v>
      </c>
      <c r="V427" s="79">
        <f t="shared" si="77"/>
        <v>0</v>
      </c>
      <c r="W427" s="79">
        <f t="shared" si="78"/>
        <v>0</v>
      </c>
      <c r="X427" s="79">
        <f t="shared" si="79"/>
        <v>0</v>
      </c>
      <c r="Y427" s="79">
        <f t="shared" si="83"/>
        <v>173145.40000000002</v>
      </c>
    </row>
    <row r="428" spans="8:25">
      <c r="H428" s="78">
        <v>378</v>
      </c>
      <c r="I428" s="77">
        <f>IFERROR(EOMONTH(DATE($C$10,$C$9,1),378-1),"")</f>
        <v>56430</v>
      </c>
      <c r="J428" s="76">
        <f t="shared" si="80"/>
        <v>0</v>
      </c>
      <c r="K428" s="76">
        <f t="shared" si="70"/>
        <v>0</v>
      </c>
      <c r="L428" s="76">
        <f t="shared" si="71"/>
        <v>0</v>
      </c>
      <c r="M428" s="76">
        <f t="shared" si="72"/>
        <v>0</v>
      </c>
      <c r="N428" s="76">
        <f t="shared" si="73"/>
        <v>0</v>
      </c>
      <c r="O428" s="76">
        <f t="shared" si="74"/>
        <v>0</v>
      </c>
      <c r="P428" s="76">
        <f t="shared" si="81"/>
        <v>94193.249999999898</v>
      </c>
      <c r="Q428" s="78">
        <v>378</v>
      </c>
      <c r="R428" s="77">
        <f>IFERROR(EOMONTH(DATE($F$10,$F$9,1),378-1),"")</f>
        <v>56430</v>
      </c>
      <c r="S428" s="76">
        <f t="shared" si="82"/>
        <v>0</v>
      </c>
      <c r="T428" s="76">
        <f t="shared" si="75"/>
        <v>0</v>
      </c>
      <c r="U428" s="76">
        <f t="shared" si="76"/>
        <v>0</v>
      </c>
      <c r="V428" s="76">
        <f t="shared" si="77"/>
        <v>0</v>
      </c>
      <c r="W428" s="76">
        <f t="shared" si="78"/>
        <v>0</v>
      </c>
      <c r="X428" s="76">
        <f t="shared" si="79"/>
        <v>0</v>
      </c>
      <c r="Y428" s="76">
        <f t="shared" si="83"/>
        <v>173145.40000000002</v>
      </c>
    </row>
    <row r="429" spans="8:25">
      <c r="H429" s="84">
        <v>379</v>
      </c>
      <c r="I429" s="83">
        <f>IFERROR(EOMONTH(DATE($C$10,$C$9,1),379-1),"")</f>
        <v>56461</v>
      </c>
      <c r="J429" s="82">
        <f t="shared" si="80"/>
        <v>0</v>
      </c>
      <c r="K429" s="82">
        <f t="shared" si="70"/>
        <v>0</v>
      </c>
      <c r="L429" s="82">
        <f t="shared" si="71"/>
        <v>0</v>
      </c>
      <c r="M429" s="82">
        <f t="shared" si="72"/>
        <v>0</v>
      </c>
      <c r="N429" s="82">
        <f t="shared" si="73"/>
        <v>0</v>
      </c>
      <c r="O429" s="82">
        <f t="shared" si="74"/>
        <v>0</v>
      </c>
      <c r="P429" s="82">
        <f t="shared" si="81"/>
        <v>94193.249999999898</v>
      </c>
      <c r="Q429" s="81">
        <v>379</v>
      </c>
      <c r="R429" s="80">
        <f>IFERROR(EOMONTH(DATE($F$10,$F$9,1),379-1),"")</f>
        <v>56461</v>
      </c>
      <c r="S429" s="79">
        <f t="shared" si="82"/>
        <v>0</v>
      </c>
      <c r="T429" s="79">
        <f t="shared" si="75"/>
        <v>0</v>
      </c>
      <c r="U429" s="79">
        <f t="shared" si="76"/>
        <v>0</v>
      </c>
      <c r="V429" s="79">
        <f t="shared" si="77"/>
        <v>0</v>
      </c>
      <c r="W429" s="79">
        <f t="shared" si="78"/>
        <v>0</v>
      </c>
      <c r="X429" s="79">
        <f t="shared" si="79"/>
        <v>0</v>
      </c>
      <c r="Y429" s="79">
        <f t="shared" si="83"/>
        <v>173145.40000000002</v>
      </c>
    </row>
    <row r="430" spans="8:25">
      <c r="H430" s="78">
        <v>380</v>
      </c>
      <c r="I430" s="77">
        <f>IFERROR(EOMONTH(DATE($C$10,$C$9,1),380-1),"")</f>
        <v>56492</v>
      </c>
      <c r="J430" s="76">
        <f t="shared" si="80"/>
        <v>0</v>
      </c>
      <c r="K430" s="76">
        <f t="shared" si="70"/>
        <v>0</v>
      </c>
      <c r="L430" s="76">
        <f t="shared" si="71"/>
        <v>0</v>
      </c>
      <c r="M430" s="76">
        <f t="shared" si="72"/>
        <v>0</v>
      </c>
      <c r="N430" s="76">
        <f t="shared" si="73"/>
        <v>0</v>
      </c>
      <c r="O430" s="76">
        <f t="shared" si="74"/>
        <v>0</v>
      </c>
      <c r="P430" s="76">
        <f t="shared" si="81"/>
        <v>94193.249999999898</v>
      </c>
      <c r="Q430" s="78">
        <v>380</v>
      </c>
      <c r="R430" s="77">
        <f>IFERROR(EOMONTH(DATE($F$10,$F$9,1),380-1),"")</f>
        <v>56492</v>
      </c>
      <c r="S430" s="76">
        <f t="shared" si="82"/>
        <v>0</v>
      </c>
      <c r="T430" s="76">
        <f t="shared" si="75"/>
        <v>0</v>
      </c>
      <c r="U430" s="76">
        <f t="shared" si="76"/>
        <v>0</v>
      </c>
      <c r="V430" s="76">
        <f t="shared" si="77"/>
        <v>0</v>
      </c>
      <c r="W430" s="76">
        <f t="shared" si="78"/>
        <v>0</v>
      </c>
      <c r="X430" s="76">
        <f t="shared" si="79"/>
        <v>0</v>
      </c>
      <c r="Y430" s="76">
        <f t="shared" si="83"/>
        <v>173145.40000000002</v>
      </c>
    </row>
    <row r="431" spans="8:25">
      <c r="H431" s="84">
        <v>381</v>
      </c>
      <c r="I431" s="83">
        <f>IFERROR(EOMONTH(DATE($C$10,$C$9,1),381-1),"")</f>
        <v>56522</v>
      </c>
      <c r="J431" s="82">
        <f t="shared" si="80"/>
        <v>0</v>
      </c>
      <c r="K431" s="82">
        <f t="shared" si="70"/>
        <v>0</v>
      </c>
      <c r="L431" s="82">
        <f t="shared" si="71"/>
        <v>0</v>
      </c>
      <c r="M431" s="82">
        <f t="shared" si="72"/>
        <v>0</v>
      </c>
      <c r="N431" s="82">
        <f t="shared" si="73"/>
        <v>0</v>
      </c>
      <c r="O431" s="82">
        <f t="shared" si="74"/>
        <v>0</v>
      </c>
      <c r="P431" s="82">
        <f t="shared" si="81"/>
        <v>94193.249999999898</v>
      </c>
      <c r="Q431" s="81">
        <v>381</v>
      </c>
      <c r="R431" s="80">
        <f>IFERROR(EOMONTH(DATE($F$10,$F$9,1),381-1),"")</f>
        <v>56522</v>
      </c>
      <c r="S431" s="79">
        <f t="shared" si="82"/>
        <v>0</v>
      </c>
      <c r="T431" s="79">
        <f t="shared" si="75"/>
        <v>0</v>
      </c>
      <c r="U431" s="79">
        <f t="shared" si="76"/>
        <v>0</v>
      </c>
      <c r="V431" s="79">
        <f t="shared" si="77"/>
        <v>0</v>
      </c>
      <c r="W431" s="79">
        <f t="shared" si="78"/>
        <v>0</v>
      </c>
      <c r="X431" s="79">
        <f t="shared" si="79"/>
        <v>0</v>
      </c>
      <c r="Y431" s="79">
        <f t="shared" si="83"/>
        <v>173145.40000000002</v>
      </c>
    </row>
    <row r="432" spans="8:25">
      <c r="H432" s="78">
        <v>382</v>
      </c>
      <c r="I432" s="77">
        <f>IFERROR(EOMONTH(DATE($C$10,$C$9,1),382-1),"")</f>
        <v>56553</v>
      </c>
      <c r="J432" s="76">
        <f t="shared" si="80"/>
        <v>0</v>
      </c>
      <c r="K432" s="76">
        <f t="shared" si="70"/>
        <v>0</v>
      </c>
      <c r="L432" s="76">
        <f t="shared" si="71"/>
        <v>0</v>
      </c>
      <c r="M432" s="76">
        <f t="shared" si="72"/>
        <v>0</v>
      </c>
      <c r="N432" s="76">
        <f t="shared" si="73"/>
        <v>0</v>
      </c>
      <c r="O432" s="76">
        <f t="shared" si="74"/>
        <v>0</v>
      </c>
      <c r="P432" s="76">
        <f t="shared" si="81"/>
        <v>94193.249999999898</v>
      </c>
      <c r="Q432" s="78">
        <v>382</v>
      </c>
      <c r="R432" s="77">
        <f>IFERROR(EOMONTH(DATE($F$10,$F$9,1),382-1),"")</f>
        <v>56553</v>
      </c>
      <c r="S432" s="76">
        <f t="shared" si="82"/>
        <v>0</v>
      </c>
      <c r="T432" s="76">
        <f t="shared" si="75"/>
        <v>0</v>
      </c>
      <c r="U432" s="76">
        <f t="shared" si="76"/>
        <v>0</v>
      </c>
      <c r="V432" s="76">
        <f t="shared" si="77"/>
        <v>0</v>
      </c>
      <c r="W432" s="76">
        <f t="shared" si="78"/>
        <v>0</v>
      </c>
      <c r="X432" s="76">
        <f t="shared" si="79"/>
        <v>0</v>
      </c>
      <c r="Y432" s="76">
        <f t="shared" si="83"/>
        <v>173145.40000000002</v>
      </c>
    </row>
    <row r="433" spans="8:25">
      <c r="H433" s="84">
        <v>383</v>
      </c>
      <c r="I433" s="83">
        <f>IFERROR(EOMONTH(DATE($C$10,$C$9,1),383-1),"")</f>
        <v>56583</v>
      </c>
      <c r="J433" s="82">
        <f t="shared" si="80"/>
        <v>0</v>
      </c>
      <c r="K433" s="82">
        <f t="shared" si="70"/>
        <v>0</v>
      </c>
      <c r="L433" s="82">
        <f t="shared" si="71"/>
        <v>0</v>
      </c>
      <c r="M433" s="82">
        <f t="shared" si="72"/>
        <v>0</v>
      </c>
      <c r="N433" s="82">
        <f t="shared" si="73"/>
        <v>0</v>
      </c>
      <c r="O433" s="82">
        <f t="shared" si="74"/>
        <v>0</v>
      </c>
      <c r="P433" s="82">
        <f t="shared" si="81"/>
        <v>94193.249999999898</v>
      </c>
      <c r="Q433" s="81">
        <v>383</v>
      </c>
      <c r="R433" s="80">
        <f>IFERROR(EOMONTH(DATE($F$10,$F$9,1),383-1),"")</f>
        <v>56583</v>
      </c>
      <c r="S433" s="79">
        <f t="shared" si="82"/>
        <v>0</v>
      </c>
      <c r="T433" s="79">
        <f t="shared" si="75"/>
        <v>0</v>
      </c>
      <c r="U433" s="79">
        <f t="shared" si="76"/>
        <v>0</v>
      </c>
      <c r="V433" s="79">
        <f t="shared" si="77"/>
        <v>0</v>
      </c>
      <c r="W433" s="79">
        <f t="shared" si="78"/>
        <v>0</v>
      </c>
      <c r="X433" s="79">
        <f t="shared" si="79"/>
        <v>0</v>
      </c>
      <c r="Y433" s="79">
        <f t="shared" si="83"/>
        <v>173145.40000000002</v>
      </c>
    </row>
    <row r="434" spans="8:25">
      <c r="H434" s="78">
        <v>384</v>
      </c>
      <c r="I434" s="77">
        <f>IFERROR(EOMONTH(DATE($C$10,$C$9,1),384-1),"")</f>
        <v>56614</v>
      </c>
      <c r="J434" s="76">
        <f t="shared" si="80"/>
        <v>0</v>
      </c>
      <c r="K434" s="76">
        <f t="shared" si="70"/>
        <v>0</v>
      </c>
      <c r="L434" s="76">
        <f t="shared" si="71"/>
        <v>0</v>
      </c>
      <c r="M434" s="76">
        <f t="shared" si="72"/>
        <v>0</v>
      </c>
      <c r="N434" s="76">
        <f t="shared" si="73"/>
        <v>0</v>
      </c>
      <c r="O434" s="76">
        <f t="shared" si="74"/>
        <v>0</v>
      </c>
      <c r="P434" s="76">
        <f t="shared" si="81"/>
        <v>94193.249999999898</v>
      </c>
      <c r="Q434" s="78">
        <v>384</v>
      </c>
      <c r="R434" s="77">
        <f>IFERROR(EOMONTH(DATE($F$10,$F$9,1),384-1),"")</f>
        <v>56614</v>
      </c>
      <c r="S434" s="76">
        <f t="shared" si="82"/>
        <v>0</v>
      </c>
      <c r="T434" s="76">
        <f t="shared" si="75"/>
        <v>0</v>
      </c>
      <c r="U434" s="76">
        <f t="shared" si="76"/>
        <v>0</v>
      </c>
      <c r="V434" s="76">
        <f t="shared" si="77"/>
        <v>0</v>
      </c>
      <c r="W434" s="76">
        <f t="shared" si="78"/>
        <v>0</v>
      </c>
      <c r="X434" s="76">
        <f t="shared" si="79"/>
        <v>0</v>
      </c>
      <c r="Y434" s="76">
        <f t="shared" si="83"/>
        <v>173145.40000000002</v>
      </c>
    </row>
    <row r="435" spans="8:25">
      <c r="H435" s="84">
        <v>385</v>
      </c>
      <c r="I435" s="83">
        <f>IFERROR(EOMONTH(DATE($C$10,$C$9,1),385-1),"")</f>
        <v>56645</v>
      </c>
      <c r="J435" s="82">
        <f t="shared" si="80"/>
        <v>0</v>
      </c>
      <c r="K435" s="82">
        <f t="shared" ref="K435:K498" si="84">IF(J435&lt;=0,0,ROUND(J435*$C$7/12,2))</f>
        <v>0</v>
      </c>
      <c r="L435" s="82">
        <f t="shared" ref="L435:L498" si="85">IF(J435&lt;=0,0,IF(UPPER(TRIM($C$11))="INTEREST ONLY",0,MAX(0,MIN(J435,$C$17-K435))))</f>
        <v>0</v>
      </c>
      <c r="M435" s="82">
        <f t="shared" ref="M435:M498" si="86">IF(J435&lt;=0,0,MIN(J435-L435,$C$12+IF(H435=$C$14,$C$13,0)))</f>
        <v>0</v>
      </c>
      <c r="N435" s="82">
        <f t="shared" ref="N435:N498" si="87">K435+L435+M435</f>
        <v>0</v>
      </c>
      <c r="O435" s="82">
        <f t="shared" ref="O435:O498" si="88">MAX(0,J435-L435-M435)</f>
        <v>0</v>
      </c>
      <c r="P435" s="82">
        <f t="shared" si="81"/>
        <v>94193.249999999898</v>
      </c>
      <c r="Q435" s="81">
        <v>385</v>
      </c>
      <c r="R435" s="80">
        <f>IFERROR(EOMONTH(DATE($F$10,$F$9,1),385-1),"")</f>
        <v>56645</v>
      </c>
      <c r="S435" s="79">
        <f t="shared" si="82"/>
        <v>0</v>
      </c>
      <c r="T435" s="79">
        <f t="shared" ref="T435:T498" si="89">IF(S435&lt;=0,0,ROUND(S435*$F$7/12,2))</f>
        <v>0</v>
      </c>
      <c r="U435" s="79">
        <f t="shared" ref="U435:U498" si="90">IF(S435&lt;=0,0,IF(UPPER(TRIM($F$11))="INTEREST ONLY",0,MAX(0,MIN(S435,$F$17-T435))))</f>
        <v>0</v>
      </c>
      <c r="V435" s="79">
        <f t="shared" ref="V435:V498" si="91">IF(S435&lt;=0,0,MIN(S435-U435,$F$12+IF(Q435=$F$14,$F$13,0)))</f>
        <v>0</v>
      </c>
      <c r="W435" s="79">
        <f t="shared" ref="W435:W498" si="92">T435+U435+V435</f>
        <v>0</v>
      </c>
      <c r="X435" s="79">
        <f t="shared" ref="X435:X498" si="93">MAX(0,S435-U435-V435)</f>
        <v>0</v>
      </c>
      <c r="Y435" s="79">
        <f t="shared" si="83"/>
        <v>173145.40000000002</v>
      </c>
    </row>
    <row r="436" spans="8:25">
      <c r="H436" s="78">
        <v>386</v>
      </c>
      <c r="I436" s="77">
        <f>IFERROR(EOMONTH(DATE($C$10,$C$9,1),386-1),"")</f>
        <v>56673</v>
      </c>
      <c r="J436" s="76">
        <f t="shared" ref="J436:J499" si="94">IF(O435&lt;=0,0,O435)</f>
        <v>0</v>
      </c>
      <c r="K436" s="76">
        <f t="shared" si="84"/>
        <v>0</v>
      </c>
      <c r="L436" s="76">
        <f t="shared" si="85"/>
        <v>0</v>
      </c>
      <c r="M436" s="76">
        <f t="shared" si="86"/>
        <v>0</v>
      </c>
      <c r="N436" s="76">
        <f t="shared" si="87"/>
        <v>0</v>
      </c>
      <c r="O436" s="76">
        <f t="shared" si="88"/>
        <v>0</v>
      </c>
      <c r="P436" s="76">
        <f t="shared" ref="P436:P499" si="95">P435+K436</f>
        <v>94193.249999999898</v>
      </c>
      <c r="Q436" s="78">
        <v>386</v>
      </c>
      <c r="R436" s="77">
        <f>IFERROR(EOMONTH(DATE($F$10,$F$9,1),386-1),"")</f>
        <v>56673</v>
      </c>
      <c r="S436" s="76">
        <f t="shared" ref="S436:S499" si="96">IF(X435&lt;=0,0,X435)</f>
        <v>0</v>
      </c>
      <c r="T436" s="76">
        <f t="shared" si="89"/>
        <v>0</v>
      </c>
      <c r="U436" s="76">
        <f t="shared" si="90"/>
        <v>0</v>
      </c>
      <c r="V436" s="76">
        <f t="shared" si="91"/>
        <v>0</v>
      </c>
      <c r="W436" s="76">
        <f t="shared" si="92"/>
        <v>0</v>
      </c>
      <c r="X436" s="76">
        <f t="shared" si="93"/>
        <v>0</v>
      </c>
      <c r="Y436" s="76">
        <f t="shared" ref="Y436:Y499" si="97">Y435+T436</f>
        <v>173145.40000000002</v>
      </c>
    </row>
    <row r="437" spans="8:25">
      <c r="H437" s="84">
        <v>387</v>
      </c>
      <c r="I437" s="83">
        <f>IFERROR(EOMONTH(DATE($C$10,$C$9,1),387-1),"")</f>
        <v>56704</v>
      </c>
      <c r="J437" s="82">
        <f t="shared" si="94"/>
        <v>0</v>
      </c>
      <c r="K437" s="82">
        <f t="shared" si="84"/>
        <v>0</v>
      </c>
      <c r="L437" s="82">
        <f t="shared" si="85"/>
        <v>0</v>
      </c>
      <c r="M437" s="82">
        <f t="shared" si="86"/>
        <v>0</v>
      </c>
      <c r="N437" s="82">
        <f t="shared" si="87"/>
        <v>0</v>
      </c>
      <c r="O437" s="82">
        <f t="shared" si="88"/>
        <v>0</v>
      </c>
      <c r="P437" s="82">
        <f t="shared" si="95"/>
        <v>94193.249999999898</v>
      </c>
      <c r="Q437" s="81">
        <v>387</v>
      </c>
      <c r="R437" s="80">
        <f>IFERROR(EOMONTH(DATE($F$10,$F$9,1),387-1),"")</f>
        <v>56704</v>
      </c>
      <c r="S437" s="79">
        <f t="shared" si="96"/>
        <v>0</v>
      </c>
      <c r="T437" s="79">
        <f t="shared" si="89"/>
        <v>0</v>
      </c>
      <c r="U437" s="79">
        <f t="shared" si="90"/>
        <v>0</v>
      </c>
      <c r="V437" s="79">
        <f t="shared" si="91"/>
        <v>0</v>
      </c>
      <c r="W437" s="79">
        <f t="shared" si="92"/>
        <v>0</v>
      </c>
      <c r="X437" s="79">
        <f t="shared" si="93"/>
        <v>0</v>
      </c>
      <c r="Y437" s="79">
        <f t="shared" si="97"/>
        <v>173145.40000000002</v>
      </c>
    </row>
    <row r="438" spans="8:25">
      <c r="H438" s="78">
        <v>388</v>
      </c>
      <c r="I438" s="77">
        <f>IFERROR(EOMONTH(DATE($C$10,$C$9,1),388-1),"")</f>
        <v>56734</v>
      </c>
      <c r="J438" s="76">
        <f t="shared" si="94"/>
        <v>0</v>
      </c>
      <c r="K438" s="76">
        <f t="shared" si="84"/>
        <v>0</v>
      </c>
      <c r="L438" s="76">
        <f t="shared" si="85"/>
        <v>0</v>
      </c>
      <c r="M438" s="76">
        <f t="shared" si="86"/>
        <v>0</v>
      </c>
      <c r="N438" s="76">
        <f t="shared" si="87"/>
        <v>0</v>
      </c>
      <c r="O438" s="76">
        <f t="shared" si="88"/>
        <v>0</v>
      </c>
      <c r="P438" s="76">
        <f t="shared" si="95"/>
        <v>94193.249999999898</v>
      </c>
      <c r="Q438" s="78">
        <v>388</v>
      </c>
      <c r="R438" s="77">
        <f>IFERROR(EOMONTH(DATE($F$10,$F$9,1),388-1),"")</f>
        <v>56734</v>
      </c>
      <c r="S438" s="76">
        <f t="shared" si="96"/>
        <v>0</v>
      </c>
      <c r="T438" s="76">
        <f t="shared" si="89"/>
        <v>0</v>
      </c>
      <c r="U438" s="76">
        <f t="shared" si="90"/>
        <v>0</v>
      </c>
      <c r="V438" s="76">
        <f t="shared" si="91"/>
        <v>0</v>
      </c>
      <c r="W438" s="76">
        <f t="shared" si="92"/>
        <v>0</v>
      </c>
      <c r="X438" s="76">
        <f t="shared" si="93"/>
        <v>0</v>
      </c>
      <c r="Y438" s="76">
        <f t="shared" si="97"/>
        <v>173145.40000000002</v>
      </c>
    </row>
    <row r="439" spans="8:25">
      <c r="H439" s="84">
        <v>389</v>
      </c>
      <c r="I439" s="83">
        <f>IFERROR(EOMONTH(DATE($C$10,$C$9,1),389-1),"")</f>
        <v>56765</v>
      </c>
      <c r="J439" s="82">
        <f t="shared" si="94"/>
        <v>0</v>
      </c>
      <c r="K439" s="82">
        <f t="shared" si="84"/>
        <v>0</v>
      </c>
      <c r="L439" s="82">
        <f t="shared" si="85"/>
        <v>0</v>
      </c>
      <c r="M439" s="82">
        <f t="shared" si="86"/>
        <v>0</v>
      </c>
      <c r="N439" s="82">
        <f t="shared" si="87"/>
        <v>0</v>
      </c>
      <c r="O439" s="82">
        <f t="shared" si="88"/>
        <v>0</v>
      </c>
      <c r="P439" s="82">
        <f t="shared" si="95"/>
        <v>94193.249999999898</v>
      </c>
      <c r="Q439" s="81">
        <v>389</v>
      </c>
      <c r="R439" s="80">
        <f>IFERROR(EOMONTH(DATE($F$10,$F$9,1),389-1),"")</f>
        <v>56765</v>
      </c>
      <c r="S439" s="79">
        <f t="shared" si="96"/>
        <v>0</v>
      </c>
      <c r="T439" s="79">
        <f t="shared" si="89"/>
        <v>0</v>
      </c>
      <c r="U439" s="79">
        <f t="shared" si="90"/>
        <v>0</v>
      </c>
      <c r="V439" s="79">
        <f t="shared" si="91"/>
        <v>0</v>
      </c>
      <c r="W439" s="79">
        <f t="shared" si="92"/>
        <v>0</v>
      </c>
      <c r="X439" s="79">
        <f t="shared" si="93"/>
        <v>0</v>
      </c>
      <c r="Y439" s="79">
        <f t="shared" si="97"/>
        <v>173145.40000000002</v>
      </c>
    </row>
    <row r="440" spans="8:25">
      <c r="H440" s="78">
        <v>390</v>
      </c>
      <c r="I440" s="77">
        <f>IFERROR(EOMONTH(DATE($C$10,$C$9,1),390-1),"")</f>
        <v>56795</v>
      </c>
      <c r="J440" s="76">
        <f t="shared" si="94"/>
        <v>0</v>
      </c>
      <c r="K440" s="76">
        <f t="shared" si="84"/>
        <v>0</v>
      </c>
      <c r="L440" s="76">
        <f t="shared" si="85"/>
        <v>0</v>
      </c>
      <c r="M440" s="76">
        <f t="shared" si="86"/>
        <v>0</v>
      </c>
      <c r="N440" s="76">
        <f t="shared" si="87"/>
        <v>0</v>
      </c>
      <c r="O440" s="76">
        <f t="shared" si="88"/>
        <v>0</v>
      </c>
      <c r="P440" s="76">
        <f t="shared" si="95"/>
        <v>94193.249999999898</v>
      </c>
      <c r="Q440" s="78">
        <v>390</v>
      </c>
      <c r="R440" s="77">
        <f>IFERROR(EOMONTH(DATE($F$10,$F$9,1),390-1),"")</f>
        <v>56795</v>
      </c>
      <c r="S440" s="76">
        <f t="shared" si="96"/>
        <v>0</v>
      </c>
      <c r="T440" s="76">
        <f t="shared" si="89"/>
        <v>0</v>
      </c>
      <c r="U440" s="76">
        <f t="shared" si="90"/>
        <v>0</v>
      </c>
      <c r="V440" s="76">
        <f t="shared" si="91"/>
        <v>0</v>
      </c>
      <c r="W440" s="76">
        <f t="shared" si="92"/>
        <v>0</v>
      </c>
      <c r="X440" s="76">
        <f t="shared" si="93"/>
        <v>0</v>
      </c>
      <c r="Y440" s="76">
        <f t="shared" si="97"/>
        <v>173145.40000000002</v>
      </c>
    </row>
    <row r="441" spans="8:25">
      <c r="H441" s="84">
        <v>391</v>
      </c>
      <c r="I441" s="83">
        <f>IFERROR(EOMONTH(DATE($C$10,$C$9,1),391-1),"")</f>
        <v>56826</v>
      </c>
      <c r="J441" s="82">
        <f t="shared" si="94"/>
        <v>0</v>
      </c>
      <c r="K441" s="82">
        <f t="shared" si="84"/>
        <v>0</v>
      </c>
      <c r="L441" s="82">
        <f t="shared" si="85"/>
        <v>0</v>
      </c>
      <c r="M441" s="82">
        <f t="shared" si="86"/>
        <v>0</v>
      </c>
      <c r="N441" s="82">
        <f t="shared" si="87"/>
        <v>0</v>
      </c>
      <c r="O441" s="82">
        <f t="shared" si="88"/>
        <v>0</v>
      </c>
      <c r="P441" s="82">
        <f t="shared" si="95"/>
        <v>94193.249999999898</v>
      </c>
      <c r="Q441" s="81">
        <v>391</v>
      </c>
      <c r="R441" s="80">
        <f>IFERROR(EOMONTH(DATE($F$10,$F$9,1),391-1),"")</f>
        <v>56826</v>
      </c>
      <c r="S441" s="79">
        <f t="shared" si="96"/>
        <v>0</v>
      </c>
      <c r="T441" s="79">
        <f t="shared" si="89"/>
        <v>0</v>
      </c>
      <c r="U441" s="79">
        <f t="shared" si="90"/>
        <v>0</v>
      </c>
      <c r="V441" s="79">
        <f t="shared" si="91"/>
        <v>0</v>
      </c>
      <c r="W441" s="79">
        <f t="shared" si="92"/>
        <v>0</v>
      </c>
      <c r="X441" s="79">
        <f t="shared" si="93"/>
        <v>0</v>
      </c>
      <c r="Y441" s="79">
        <f t="shared" si="97"/>
        <v>173145.40000000002</v>
      </c>
    </row>
    <row r="442" spans="8:25">
      <c r="H442" s="78">
        <v>392</v>
      </c>
      <c r="I442" s="77">
        <f>IFERROR(EOMONTH(DATE($C$10,$C$9,1),392-1),"")</f>
        <v>56857</v>
      </c>
      <c r="J442" s="76">
        <f t="shared" si="94"/>
        <v>0</v>
      </c>
      <c r="K442" s="76">
        <f t="shared" si="84"/>
        <v>0</v>
      </c>
      <c r="L442" s="76">
        <f t="shared" si="85"/>
        <v>0</v>
      </c>
      <c r="M442" s="76">
        <f t="shared" si="86"/>
        <v>0</v>
      </c>
      <c r="N442" s="76">
        <f t="shared" si="87"/>
        <v>0</v>
      </c>
      <c r="O442" s="76">
        <f t="shared" si="88"/>
        <v>0</v>
      </c>
      <c r="P442" s="76">
        <f t="shared" si="95"/>
        <v>94193.249999999898</v>
      </c>
      <c r="Q442" s="78">
        <v>392</v>
      </c>
      <c r="R442" s="77">
        <f>IFERROR(EOMONTH(DATE($F$10,$F$9,1),392-1),"")</f>
        <v>56857</v>
      </c>
      <c r="S442" s="76">
        <f t="shared" si="96"/>
        <v>0</v>
      </c>
      <c r="T442" s="76">
        <f t="shared" si="89"/>
        <v>0</v>
      </c>
      <c r="U442" s="76">
        <f t="shared" si="90"/>
        <v>0</v>
      </c>
      <c r="V442" s="76">
        <f t="shared" si="91"/>
        <v>0</v>
      </c>
      <c r="W442" s="76">
        <f t="shared" si="92"/>
        <v>0</v>
      </c>
      <c r="X442" s="76">
        <f t="shared" si="93"/>
        <v>0</v>
      </c>
      <c r="Y442" s="76">
        <f t="shared" si="97"/>
        <v>173145.40000000002</v>
      </c>
    </row>
    <row r="443" spans="8:25">
      <c r="H443" s="84">
        <v>393</v>
      </c>
      <c r="I443" s="83">
        <f>IFERROR(EOMONTH(DATE($C$10,$C$9,1),393-1),"")</f>
        <v>56887</v>
      </c>
      <c r="J443" s="82">
        <f t="shared" si="94"/>
        <v>0</v>
      </c>
      <c r="K443" s="82">
        <f t="shared" si="84"/>
        <v>0</v>
      </c>
      <c r="L443" s="82">
        <f t="shared" si="85"/>
        <v>0</v>
      </c>
      <c r="M443" s="82">
        <f t="shared" si="86"/>
        <v>0</v>
      </c>
      <c r="N443" s="82">
        <f t="shared" si="87"/>
        <v>0</v>
      </c>
      <c r="O443" s="82">
        <f t="shared" si="88"/>
        <v>0</v>
      </c>
      <c r="P443" s="82">
        <f t="shared" si="95"/>
        <v>94193.249999999898</v>
      </c>
      <c r="Q443" s="81">
        <v>393</v>
      </c>
      <c r="R443" s="80">
        <f>IFERROR(EOMONTH(DATE($F$10,$F$9,1),393-1),"")</f>
        <v>56887</v>
      </c>
      <c r="S443" s="79">
        <f t="shared" si="96"/>
        <v>0</v>
      </c>
      <c r="T443" s="79">
        <f t="shared" si="89"/>
        <v>0</v>
      </c>
      <c r="U443" s="79">
        <f t="shared" si="90"/>
        <v>0</v>
      </c>
      <c r="V443" s="79">
        <f t="shared" si="91"/>
        <v>0</v>
      </c>
      <c r="W443" s="79">
        <f t="shared" si="92"/>
        <v>0</v>
      </c>
      <c r="X443" s="79">
        <f t="shared" si="93"/>
        <v>0</v>
      </c>
      <c r="Y443" s="79">
        <f t="shared" si="97"/>
        <v>173145.40000000002</v>
      </c>
    </row>
    <row r="444" spans="8:25">
      <c r="H444" s="78">
        <v>394</v>
      </c>
      <c r="I444" s="77">
        <f>IFERROR(EOMONTH(DATE($C$10,$C$9,1),394-1),"")</f>
        <v>56918</v>
      </c>
      <c r="J444" s="76">
        <f t="shared" si="94"/>
        <v>0</v>
      </c>
      <c r="K444" s="76">
        <f t="shared" si="84"/>
        <v>0</v>
      </c>
      <c r="L444" s="76">
        <f t="shared" si="85"/>
        <v>0</v>
      </c>
      <c r="M444" s="76">
        <f t="shared" si="86"/>
        <v>0</v>
      </c>
      <c r="N444" s="76">
        <f t="shared" si="87"/>
        <v>0</v>
      </c>
      <c r="O444" s="76">
        <f t="shared" si="88"/>
        <v>0</v>
      </c>
      <c r="P444" s="76">
        <f t="shared" si="95"/>
        <v>94193.249999999898</v>
      </c>
      <c r="Q444" s="78">
        <v>394</v>
      </c>
      <c r="R444" s="77">
        <f>IFERROR(EOMONTH(DATE($F$10,$F$9,1),394-1),"")</f>
        <v>56918</v>
      </c>
      <c r="S444" s="76">
        <f t="shared" si="96"/>
        <v>0</v>
      </c>
      <c r="T444" s="76">
        <f t="shared" si="89"/>
        <v>0</v>
      </c>
      <c r="U444" s="76">
        <f t="shared" si="90"/>
        <v>0</v>
      </c>
      <c r="V444" s="76">
        <f t="shared" si="91"/>
        <v>0</v>
      </c>
      <c r="W444" s="76">
        <f t="shared" si="92"/>
        <v>0</v>
      </c>
      <c r="X444" s="76">
        <f t="shared" si="93"/>
        <v>0</v>
      </c>
      <c r="Y444" s="76">
        <f t="shared" si="97"/>
        <v>173145.40000000002</v>
      </c>
    </row>
    <row r="445" spans="8:25">
      <c r="H445" s="84">
        <v>395</v>
      </c>
      <c r="I445" s="83">
        <f>IFERROR(EOMONTH(DATE($C$10,$C$9,1),395-1),"")</f>
        <v>56948</v>
      </c>
      <c r="J445" s="82">
        <f t="shared" si="94"/>
        <v>0</v>
      </c>
      <c r="K445" s="82">
        <f t="shared" si="84"/>
        <v>0</v>
      </c>
      <c r="L445" s="82">
        <f t="shared" si="85"/>
        <v>0</v>
      </c>
      <c r="M445" s="82">
        <f t="shared" si="86"/>
        <v>0</v>
      </c>
      <c r="N445" s="82">
        <f t="shared" si="87"/>
        <v>0</v>
      </c>
      <c r="O445" s="82">
        <f t="shared" si="88"/>
        <v>0</v>
      </c>
      <c r="P445" s="82">
        <f t="shared" si="95"/>
        <v>94193.249999999898</v>
      </c>
      <c r="Q445" s="81">
        <v>395</v>
      </c>
      <c r="R445" s="80">
        <f>IFERROR(EOMONTH(DATE($F$10,$F$9,1),395-1),"")</f>
        <v>56948</v>
      </c>
      <c r="S445" s="79">
        <f t="shared" si="96"/>
        <v>0</v>
      </c>
      <c r="T445" s="79">
        <f t="shared" si="89"/>
        <v>0</v>
      </c>
      <c r="U445" s="79">
        <f t="shared" si="90"/>
        <v>0</v>
      </c>
      <c r="V445" s="79">
        <f t="shared" si="91"/>
        <v>0</v>
      </c>
      <c r="W445" s="79">
        <f t="shared" si="92"/>
        <v>0</v>
      </c>
      <c r="X445" s="79">
        <f t="shared" si="93"/>
        <v>0</v>
      </c>
      <c r="Y445" s="79">
        <f t="shared" si="97"/>
        <v>173145.40000000002</v>
      </c>
    </row>
    <row r="446" spans="8:25">
      <c r="H446" s="78">
        <v>396</v>
      </c>
      <c r="I446" s="77">
        <f>IFERROR(EOMONTH(DATE($C$10,$C$9,1),396-1),"")</f>
        <v>56979</v>
      </c>
      <c r="J446" s="76">
        <f t="shared" si="94"/>
        <v>0</v>
      </c>
      <c r="K446" s="76">
        <f t="shared" si="84"/>
        <v>0</v>
      </c>
      <c r="L446" s="76">
        <f t="shared" si="85"/>
        <v>0</v>
      </c>
      <c r="M446" s="76">
        <f t="shared" si="86"/>
        <v>0</v>
      </c>
      <c r="N446" s="76">
        <f t="shared" si="87"/>
        <v>0</v>
      </c>
      <c r="O446" s="76">
        <f t="shared" si="88"/>
        <v>0</v>
      </c>
      <c r="P446" s="76">
        <f t="shared" si="95"/>
        <v>94193.249999999898</v>
      </c>
      <c r="Q446" s="78">
        <v>396</v>
      </c>
      <c r="R446" s="77">
        <f>IFERROR(EOMONTH(DATE($F$10,$F$9,1),396-1),"")</f>
        <v>56979</v>
      </c>
      <c r="S446" s="76">
        <f t="shared" si="96"/>
        <v>0</v>
      </c>
      <c r="T446" s="76">
        <f t="shared" si="89"/>
        <v>0</v>
      </c>
      <c r="U446" s="76">
        <f t="shared" si="90"/>
        <v>0</v>
      </c>
      <c r="V446" s="76">
        <f t="shared" si="91"/>
        <v>0</v>
      </c>
      <c r="W446" s="76">
        <f t="shared" si="92"/>
        <v>0</v>
      </c>
      <c r="X446" s="76">
        <f t="shared" si="93"/>
        <v>0</v>
      </c>
      <c r="Y446" s="76">
        <f t="shared" si="97"/>
        <v>173145.40000000002</v>
      </c>
    </row>
    <row r="447" spans="8:25">
      <c r="H447" s="84">
        <v>397</v>
      </c>
      <c r="I447" s="83">
        <f>IFERROR(EOMONTH(DATE($C$10,$C$9,1),397-1),"")</f>
        <v>57010</v>
      </c>
      <c r="J447" s="82">
        <f t="shared" si="94"/>
        <v>0</v>
      </c>
      <c r="K447" s="82">
        <f t="shared" si="84"/>
        <v>0</v>
      </c>
      <c r="L447" s="82">
        <f t="shared" si="85"/>
        <v>0</v>
      </c>
      <c r="M447" s="82">
        <f t="shared" si="86"/>
        <v>0</v>
      </c>
      <c r="N447" s="82">
        <f t="shared" si="87"/>
        <v>0</v>
      </c>
      <c r="O447" s="82">
        <f t="shared" si="88"/>
        <v>0</v>
      </c>
      <c r="P447" s="82">
        <f t="shared" si="95"/>
        <v>94193.249999999898</v>
      </c>
      <c r="Q447" s="81">
        <v>397</v>
      </c>
      <c r="R447" s="80">
        <f>IFERROR(EOMONTH(DATE($F$10,$F$9,1),397-1),"")</f>
        <v>57010</v>
      </c>
      <c r="S447" s="79">
        <f t="shared" si="96"/>
        <v>0</v>
      </c>
      <c r="T447" s="79">
        <f t="shared" si="89"/>
        <v>0</v>
      </c>
      <c r="U447" s="79">
        <f t="shared" si="90"/>
        <v>0</v>
      </c>
      <c r="V447" s="79">
        <f t="shared" si="91"/>
        <v>0</v>
      </c>
      <c r="W447" s="79">
        <f t="shared" si="92"/>
        <v>0</v>
      </c>
      <c r="X447" s="79">
        <f t="shared" si="93"/>
        <v>0</v>
      </c>
      <c r="Y447" s="79">
        <f t="shared" si="97"/>
        <v>173145.40000000002</v>
      </c>
    </row>
    <row r="448" spans="8:25">
      <c r="H448" s="78">
        <v>398</v>
      </c>
      <c r="I448" s="77">
        <f>IFERROR(EOMONTH(DATE($C$10,$C$9,1),398-1),"")</f>
        <v>57039</v>
      </c>
      <c r="J448" s="76">
        <f t="shared" si="94"/>
        <v>0</v>
      </c>
      <c r="K448" s="76">
        <f t="shared" si="84"/>
        <v>0</v>
      </c>
      <c r="L448" s="76">
        <f t="shared" si="85"/>
        <v>0</v>
      </c>
      <c r="M448" s="76">
        <f t="shared" si="86"/>
        <v>0</v>
      </c>
      <c r="N448" s="76">
        <f t="shared" si="87"/>
        <v>0</v>
      </c>
      <c r="O448" s="76">
        <f t="shared" si="88"/>
        <v>0</v>
      </c>
      <c r="P448" s="76">
        <f t="shared" si="95"/>
        <v>94193.249999999898</v>
      </c>
      <c r="Q448" s="78">
        <v>398</v>
      </c>
      <c r="R448" s="77">
        <f>IFERROR(EOMONTH(DATE($F$10,$F$9,1),398-1),"")</f>
        <v>57039</v>
      </c>
      <c r="S448" s="76">
        <f t="shared" si="96"/>
        <v>0</v>
      </c>
      <c r="T448" s="76">
        <f t="shared" si="89"/>
        <v>0</v>
      </c>
      <c r="U448" s="76">
        <f t="shared" si="90"/>
        <v>0</v>
      </c>
      <c r="V448" s="76">
        <f t="shared" si="91"/>
        <v>0</v>
      </c>
      <c r="W448" s="76">
        <f t="shared" si="92"/>
        <v>0</v>
      </c>
      <c r="X448" s="76">
        <f t="shared" si="93"/>
        <v>0</v>
      </c>
      <c r="Y448" s="76">
        <f t="shared" si="97"/>
        <v>173145.40000000002</v>
      </c>
    </row>
    <row r="449" spans="8:25">
      <c r="H449" s="84">
        <v>399</v>
      </c>
      <c r="I449" s="83">
        <f>IFERROR(EOMONTH(DATE($C$10,$C$9,1),399-1),"")</f>
        <v>57070</v>
      </c>
      <c r="J449" s="82">
        <f t="shared" si="94"/>
        <v>0</v>
      </c>
      <c r="K449" s="82">
        <f t="shared" si="84"/>
        <v>0</v>
      </c>
      <c r="L449" s="82">
        <f t="shared" si="85"/>
        <v>0</v>
      </c>
      <c r="M449" s="82">
        <f t="shared" si="86"/>
        <v>0</v>
      </c>
      <c r="N449" s="82">
        <f t="shared" si="87"/>
        <v>0</v>
      </c>
      <c r="O449" s="82">
        <f t="shared" si="88"/>
        <v>0</v>
      </c>
      <c r="P449" s="82">
        <f t="shared" si="95"/>
        <v>94193.249999999898</v>
      </c>
      <c r="Q449" s="81">
        <v>399</v>
      </c>
      <c r="R449" s="80">
        <f>IFERROR(EOMONTH(DATE($F$10,$F$9,1),399-1),"")</f>
        <v>57070</v>
      </c>
      <c r="S449" s="79">
        <f t="shared" si="96"/>
        <v>0</v>
      </c>
      <c r="T449" s="79">
        <f t="shared" si="89"/>
        <v>0</v>
      </c>
      <c r="U449" s="79">
        <f t="shared" si="90"/>
        <v>0</v>
      </c>
      <c r="V449" s="79">
        <f t="shared" si="91"/>
        <v>0</v>
      </c>
      <c r="W449" s="79">
        <f t="shared" si="92"/>
        <v>0</v>
      </c>
      <c r="X449" s="79">
        <f t="shared" si="93"/>
        <v>0</v>
      </c>
      <c r="Y449" s="79">
        <f t="shared" si="97"/>
        <v>173145.40000000002</v>
      </c>
    </row>
    <row r="450" spans="8:25">
      <c r="H450" s="78">
        <v>400</v>
      </c>
      <c r="I450" s="77">
        <f>IFERROR(EOMONTH(DATE($C$10,$C$9,1),400-1),"")</f>
        <v>57100</v>
      </c>
      <c r="J450" s="76">
        <f t="shared" si="94"/>
        <v>0</v>
      </c>
      <c r="K450" s="76">
        <f t="shared" si="84"/>
        <v>0</v>
      </c>
      <c r="L450" s="76">
        <f t="shared" si="85"/>
        <v>0</v>
      </c>
      <c r="M450" s="76">
        <f t="shared" si="86"/>
        <v>0</v>
      </c>
      <c r="N450" s="76">
        <f t="shared" si="87"/>
        <v>0</v>
      </c>
      <c r="O450" s="76">
        <f t="shared" si="88"/>
        <v>0</v>
      </c>
      <c r="P450" s="76">
        <f t="shared" si="95"/>
        <v>94193.249999999898</v>
      </c>
      <c r="Q450" s="78">
        <v>400</v>
      </c>
      <c r="R450" s="77">
        <f>IFERROR(EOMONTH(DATE($F$10,$F$9,1),400-1),"")</f>
        <v>57100</v>
      </c>
      <c r="S450" s="76">
        <f t="shared" si="96"/>
        <v>0</v>
      </c>
      <c r="T450" s="76">
        <f t="shared" si="89"/>
        <v>0</v>
      </c>
      <c r="U450" s="76">
        <f t="shared" si="90"/>
        <v>0</v>
      </c>
      <c r="V450" s="76">
        <f t="shared" si="91"/>
        <v>0</v>
      </c>
      <c r="W450" s="76">
        <f t="shared" si="92"/>
        <v>0</v>
      </c>
      <c r="X450" s="76">
        <f t="shared" si="93"/>
        <v>0</v>
      </c>
      <c r="Y450" s="76">
        <f t="shared" si="97"/>
        <v>173145.40000000002</v>
      </c>
    </row>
    <row r="451" spans="8:25">
      <c r="H451" s="84">
        <v>401</v>
      </c>
      <c r="I451" s="83">
        <f>IFERROR(EOMONTH(DATE($C$10,$C$9,1),401-1),"")</f>
        <v>57131</v>
      </c>
      <c r="J451" s="82">
        <f t="shared" si="94"/>
        <v>0</v>
      </c>
      <c r="K451" s="82">
        <f t="shared" si="84"/>
        <v>0</v>
      </c>
      <c r="L451" s="82">
        <f t="shared" si="85"/>
        <v>0</v>
      </c>
      <c r="M451" s="82">
        <f t="shared" si="86"/>
        <v>0</v>
      </c>
      <c r="N451" s="82">
        <f t="shared" si="87"/>
        <v>0</v>
      </c>
      <c r="O451" s="82">
        <f t="shared" si="88"/>
        <v>0</v>
      </c>
      <c r="P451" s="82">
        <f t="shared" si="95"/>
        <v>94193.249999999898</v>
      </c>
      <c r="Q451" s="81">
        <v>401</v>
      </c>
      <c r="R451" s="80">
        <f>IFERROR(EOMONTH(DATE($F$10,$F$9,1),401-1),"")</f>
        <v>57131</v>
      </c>
      <c r="S451" s="79">
        <f t="shared" si="96"/>
        <v>0</v>
      </c>
      <c r="T451" s="79">
        <f t="shared" si="89"/>
        <v>0</v>
      </c>
      <c r="U451" s="79">
        <f t="shared" si="90"/>
        <v>0</v>
      </c>
      <c r="V451" s="79">
        <f t="shared" si="91"/>
        <v>0</v>
      </c>
      <c r="W451" s="79">
        <f t="shared" si="92"/>
        <v>0</v>
      </c>
      <c r="X451" s="79">
        <f t="shared" si="93"/>
        <v>0</v>
      </c>
      <c r="Y451" s="79">
        <f t="shared" si="97"/>
        <v>173145.40000000002</v>
      </c>
    </row>
    <row r="452" spans="8:25">
      <c r="H452" s="78">
        <v>402</v>
      </c>
      <c r="I452" s="77">
        <f>IFERROR(EOMONTH(DATE($C$10,$C$9,1),402-1),"")</f>
        <v>57161</v>
      </c>
      <c r="J452" s="76">
        <f t="shared" si="94"/>
        <v>0</v>
      </c>
      <c r="K452" s="76">
        <f t="shared" si="84"/>
        <v>0</v>
      </c>
      <c r="L452" s="76">
        <f t="shared" si="85"/>
        <v>0</v>
      </c>
      <c r="M452" s="76">
        <f t="shared" si="86"/>
        <v>0</v>
      </c>
      <c r="N452" s="76">
        <f t="shared" si="87"/>
        <v>0</v>
      </c>
      <c r="O452" s="76">
        <f t="shared" si="88"/>
        <v>0</v>
      </c>
      <c r="P452" s="76">
        <f t="shared" si="95"/>
        <v>94193.249999999898</v>
      </c>
      <c r="Q452" s="78">
        <v>402</v>
      </c>
      <c r="R452" s="77">
        <f>IFERROR(EOMONTH(DATE($F$10,$F$9,1),402-1),"")</f>
        <v>57161</v>
      </c>
      <c r="S452" s="76">
        <f t="shared" si="96"/>
        <v>0</v>
      </c>
      <c r="T452" s="76">
        <f t="shared" si="89"/>
        <v>0</v>
      </c>
      <c r="U452" s="76">
        <f t="shared" si="90"/>
        <v>0</v>
      </c>
      <c r="V452" s="76">
        <f t="shared" si="91"/>
        <v>0</v>
      </c>
      <c r="W452" s="76">
        <f t="shared" si="92"/>
        <v>0</v>
      </c>
      <c r="X452" s="76">
        <f t="shared" si="93"/>
        <v>0</v>
      </c>
      <c r="Y452" s="76">
        <f t="shared" si="97"/>
        <v>173145.40000000002</v>
      </c>
    </row>
    <row r="453" spans="8:25">
      <c r="H453" s="84">
        <v>403</v>
      </c>
      <c r="I453" s="83">
        <f>IFERROR(EOMONTH(DATE($C$10,$C$9,1),403-1),"")</f>
        <v>57192</v>
      </c>
      <c r="J453" s="82">
        <f t="shared" si="94"/>
        <v>0</v>
      </c>
      <c r="K453" s="82">
        <f t="shared" si="84"/>
        <v>0</v>
      </c>
      <c r="L453" s="82">
        <f t="shared" si="85"/>
        <v>0</v>
      </c>
      <c r="M453" s="82">
        <f t="shared" si="86"/>
        <v>0</v>
      </c>
      <c r="N453" s="82">
        <f t="shared" si="87"/>
        <v>0</v>
      </c>
      <c r="O453" s="82">
        <f t="shared" si="88"/>
        <v>0</v>
      </c>
      <c r="P453" s="82">
        <f t="shared" si="95"/>
        <v>94193.249999999898</v>
      </c>
      <c r="Q453" s="81">
        <v>403</v>
      </c>
      <c r="R453" s="80">
        <f>IFERROR(EOMONTH(DATE($F$10,$F$9,1),403-1),"")</f>
        <v>57192</v>
      </c>
      <c r="S453" s="79">
        <f t="shared" si="96"/>
        <v>0</v>
      </c>
      <c r="T453" s="79">
        <f t="shared" si="89"/>
        <v>0</v>
      </c>
      <c r="U453" s="79">
        <f t="shared" si="90"/>
        <v>0</v>
      </c>
      <c r="V453" s="79">
        <f t="shared" si="91"/>
        <v>0</v>
      </c>
      <c r="W453" s="79">
        <f t="shared" si="92"/>
        <v>0</v>
      </c>
      <c r="X453" s="79">
        <f t="shared" si="93"/>
        <v>0</v>
      </c>
      <c r="Y453" s="79">
        <f t="shared" si="97"/>
        <v>173145.40000000002</v>
      </c>
    </row>
    <row r="454" spans="8:25">
      <c r="H454" s="78">
        <v>404</v>
      </c>
      <c r="I454" s="77">
        <f>IFERROR(EOMONTH(DATE($C$10,$C$9,1),404-1),"")</f>
        <v>57223</v>
      </c>
      <c r="J454" s="76">
        <f t="shared" si="94"/>
        <v>0</v>
      </c>
      <c r="K454" s="76">
        <f t="shared" si="84"/>
        <v>0</v>
      </c>
      <c r="L454" s="76">
        <f t="shared" si="85"/>
        <v>0</v>
      </c>
      <c r="M454" s="76">
        <f t="shared" si="86"/>
        <v>0</v>
      </c>
      <c r="N454" s="76">
        <f t="shared" si="87"/>
        <v>0</v>
      </c>
      <c r="O454" s="76">
        <f t="shared" si="88"/>
        <v>0</v>
      </c>
      <c r="P454" s="76">
        <f t="shared" si="95"/>
        <v>94193.249999999898</v>
      </c>
      <c r="Q454" s="78">
        <v>404</v>
      </c>
      <c r="R454" s="77">
        <f>IFERROR(EOMONTH(DATE($F$10,$F$9,1),404-1),"")</f>
        <v>57223</v>
      </c>
      <c r="S454" s="76">
        <f t="shared" si="96"/>
        <v>0</v>
      </c>
      <c r="T454" s="76">
        <f t="shared" si="89"/>
        <v>0</v>
      </c>
      <c r="U454" s="76">
        <f t="shared" si="90"/>
        <v>0</v>
      </c>
      <c r="V454" s="76">
        <f t="shared" si="91"/>
        <v>0</v>
      </c>
      <c r="W454" s="76">
        <f t="shared" si="92"/>
        <v>0</v>
      </c>
      <c r="X454" s="76">
        <f t="shared" si="93"/>
        <v>0</v>
      </c>
      <c r="Y454" s="76">
        <f t="shared" si="97"/>
        <v>173145.40000000002</v>
      </c>
    </row>
    <row r="455" spans="8:25">
      <c r="H455" s="84">
        <v>405</v>
      </c>
      <c r="I455" s="83">
        <f>IFERROR(EOMONTH(DATE($C$10,$C$9,1),405-1),"")</f>
        <v>57253</v>
      </c>
      <c r="J455" s="82">
        <f t="shared" si="94"/>
        <v>0</v>
      </c>
      <c r="K455" s="82">
        <f t="shared" si="84"/>
        <v>0</v>
      </c>
      <c r="L455" s="82">
        <f t="shared" si="85"/>
        <v>0</v>
      </c>
      <c r="M455" s="82">
        <f t="shared" si="86"/>
        <v>0</v>
      </c>
      <c r="N455" s="82">
        <f t="shared" si="87"/>
        <v>0</v>
      </c>
      <c r="O455" s="82">
        <f t="shared" si="88"/>
        <v>0</v>
      </c>
      <c r="P455" s="82">
        <f t="shared" si="95"/>
        <v>94193.249999999898</v>
      </c>
      <c r="Q455" s="81">
        <v>405</v>
      </c>
      <c r="R455" s="80">
        <f>IFERROR(EOMONTH(DATE($F$10,$F$9,1),405-1),"")</f>
        <v>57253</v>
      </c>
      <c r="S455" s="79">
        <f t="shared" si="96"/>
        <v>0</v>
      </c>
      <c r="T455" s="79">
        <f t="shared" si="89"/>
        <v>0</v>
      </c>
      <c r="U455" s="79">
        <f t="shared" si="90"/>
        <v>0</v>
      </c>
      <c r="V455" s="79">
        <f t="shared" si="91"/>
        <v>0</v>
      </c>
      <c r="W455" s="79">
        <f t="shared" si="92"/>
        <v>0</v>
      </c>
      <c r="X455" s="79">
        <f t="shared" si="93"/>
        <v>0</v>
      </c>
      <c r="Y455" s="79">
        <f t="shared" si="97"/>
        <v>173145.40000000002</v>
      </c>
    </row>
    <row r="456" spans="8:25">
      <c r="H456" s="78">
        <v>406</v>
      </c>
      <c r="I456" s="77">
        <f>IFERROR(EOMONTH(DATE($C$10,$C$9,1),406-1),"")</f>
        <v>57284</v>
      </c>
      <c r="J456" s="76">
        <f t="shared" si="94"/>
        <v>0</v>
      </c>
      <c r="K456" s="76">
        <f t="shared" si="84"/>
        <v>0</v>
      </c>
      <c r="L456" s="76">
        <f t="shared" si="85"/>
        <v>0</v>
      </c>
      <c r="M456" s="76">
        <f t="shared" si="86"/>
        <v>0</v>
      </c>
      <c r="N456" s="76">
        <f t="shared" si="87"/>
        <v>0</v>
      </c>
      <c r="O456" s="76">
        <f t="shared" si="88"/>
        <v>0</v>
      </c>
      <c r="P456" s="76">
        <f t="shared" si="95"/>
        <v>94193.249999999898</v>
      </c>
      <c r="Q456" s="78">
        <v>406</v>
      </c>
      <c r="R456" s="77">
        <f>IFERROR(EOMONTH(DATE($F$10,$F$9,1),406-1),"")</f>
        <v>57284</v>
      </c>
      <c r="S456" s="76">
        <f t="shared" si="96"/>
        <v>0</v>
      </c>
      <c r="T456" s="76">
        <f t="shared" si="89"/>
        <v>0</v>
      </c>
      <c r="U456" s="76">
        <f t="shared" si="90"/>
        <v>0</v>
      </c>
      <c r="V456" s="76">
        <f t="shared" si="91"/>
        <v>0</v>
      </c>
      <c r="W456" s="76">
        <f t="shared" si="92"/>
        <v>0</v>
      </c>
      <c r="X456" s="76">
        <f t="shared" si="93"/>
        <v>0</v>
      </c>
      <c r="Y456" s="76">
        <f t="shared" si="97"/>
        <v>173145.40000000002</v>
      </c>
    </row>
    <row r="457" spans="8:25">
      <c r="H457" s="84">
        <v>407</v>
      </c>
      <c r="I457" s="83">
        <f>IFERROR(EOMONTH(DATE($C$10,$C$9,1),407-1),"")</f>
        <v>57314</v>
      </c>
      <c r="J457" s="82">
        <f t="shared" si="94"/>
        <v>0</v>
      </c>
      <c r="K457" s="82">
        <f t="shared" si="84"/>
        <v>0</v>
      </c>
      <c r="L457" s="82">
        <f t="shared" si="85"/>
        <v>0</v>
      </c>
      <c r="M457" s="82">
        <f t="shared" si="86"/>
        <v>0</v>
      </c>
      <c r="N457" s="82">
        <f t="shared" si="87"/>
        <v>0</v>
      </c>
      <c r="O457" s="82">
        <f t="shared" si="88"/>
        <v>0</v>
      </c>
      <c r="P457" s="82">
        <f t="shared" si="95"/>
        <v>94193.249999999898</v>
      </c>
      <c r="Q457" s="81">
        <v>407</v>
      </c>
      <c r="R457" s="80">
        <f>IFERROR(EOMONTH(DATE($F$10,$F$9,1),407-1),"")</f>
        <v>57314</v>
      </c>
      <c r="S457" s="79">
        <f t="shared" si="96"/>
        <v>0</v>
      </c>
      <c r="T457" s="79">
        <f t="shared" si="89"/>
        <v>0</v>
      </c>
      <c r="U457" s="79">
        <f t="shared" si="90"/>
        <v>0</v>
      </c>
      <c r="V457" s="79">
        <f t="shared" si="91"/>
        <v>0</v>
      </c>
      <c r="W457" s="79">
        <f t="shared" si="92"/>
        <v>0</v>
      </c>
      <c r="X457" s="79">
        <f t="shared" si="93"/>
        <v>0</v>
      </c>
      <c r="Y457" s="79">
        <f t="shared" si="97"/>
        <v>173145.40000000002</v>
      </c>
    </row>
    <row r="458" spans="8:25">
      <c r="H458" s="78">
        <v>408</v>
      </c>
      <c r="I458" s="77">
        <f>IFERROR(EOMONTH(DATE($C$10,$C$9,1),408-1),"")</f>
        <v>57345</v>
      </c>
      <c r="J458" s="76">
        <f t="shared" si="94"/>
        <v>0</v>
      </c>
      <c r="K458" s="76">
        <f t="shared" si="84"/>
        <v>0</v>
      </c>
      <c r="L458" s="76">
        <f t="shared" si="85"/>
        <v>0</v>
      </c>
      <c r="M458" s="76">
        <f t="shared" si="86"/>
        <v>0</v>
      </c>
      <c r="N458" s="76">
        <f t="shared" si="87"/>
        <v>0</v>
      </c>
      <c r="O458" s="76">
        <f t="shared" si="88"/>
        <v>0</v>
      </c>
      <c r="P458" s="76">
        <f t="shared" si="95"/>
        <v>94193.249999999898</v>
      </c>
      <c r="Q458" s="78">
        <v>408</v>
      </c>
      <c r="R458" s="77">
        <f>IFERROR(EOMONTH(DATE($F$10,$F$9,1),408-1),"")</f>
        <v>57345</v>
      </c>
      <c r="S458" s="76">
        <f t="shared" si="96"/>
        <v>0</v>
      </c>
      <c r="T458" s="76">
        <f t="shared" si="89"/>
        <v>0</v>
      </c>
      <c r="U458" s="76">
        <f t="shared" si="90"/>
        <v>0</v>
      </c>
      <c r="V458" s="76">
        <f t="shared" si="91"/>
        <v>0</v>
      </c>
      <c r="W458" s="76">
        <f t="shared" si="92"/>
        <v>0</v>
      </c>
      <c r="X458" s="76">
        <f t="shared" si="93"/>
        <v>0</v>
      </c>
      <c r="Y458" s="76">
        <f t="shared" si="97"/>
        <v>173145.40000000002</v>
      </c>
    </row>
    <row r="459" spans="8:25">
      <c r="H459" s="84">
        <v>409</v>
      </c>
      <c r="I459" s="83">
        <f>IFERROR(EOMONTH(DATE($C$10,$C$9,1),409-1),"")</f>
        <v>57376</v>
      </c>
      <c r="J459" s="82">
        <f t="shared" si="94"/>
        <v>0</v>
      </c>
      <c r="K459" s="82">
        <f t="shared" si="84"/>
        <v>0</v>
      </c>
      <c r="L459" s="82">
        <f t="shared" si="85"/>
        <v>0</v>
      </c>
      <c r="M459" s="82">
        <f t="shared" si="86"/>
        <v>0</v>
      </c>
      <c r="N459" s="82">
        <f t="shared" si="87"/>
        <v>0</v>
      </c>
      <c r="O459" s="82">
        <f t="shared" si="88"/>
        <v>0</v>
      </c>
      <c r="P459" s="82">
        <f t="shared" si="95"/>
        <v>94193.249999999898</v>
      </c>
      <c r="Q459" s="81">
        <v>409</v>
      </c>
      <c r="R459" s="80">
        <f>IFERROR(EOMONTH(DATE($F$10,$F$9,1),409-1),"")</f>
        <v>57376</v>
      </c>
      <c r="S459" s="79">
        <f t="shared" si="96"/>
        <v>0</v>
      </c>
      <c r="T459" s="79">
        <f t="shared" si="89"/>
        <v>0</v>
      </c>
      <c r="U459" s="79">
        <f t="shared" si="90"/>
        <v>0</v>
      </c>
      <c r="V459" s="79">
        <f t="shared" si="91"/>
        <v>0</v>
      </c>
      <c r="W459" s="79">
        <f t="shared" si="92"/>
        <v>0</v>
      </c>
      <c r="X459" s="79">
        <f t="shared" si="93"/>
        <v>0</v>
      </c>
      <c r="Y459" s="79">
        <f t="shared" si="97"/>
        <v>173145.40000000002</v>
      </c>
    </row>
    <row r="460" spans="8:25">
      <c r="H460" s="78">
        <v>410</v>
      </c>
      <c r="I460" s="77">
        <f>IFERROR(EOMONTH(DATE($C$10,$C$9,1),410-1),"")</f>
        <v>57404</v>
      </c>
      <c r="J460" s="76">
        <f t="shared" si="94"/>
        <v>0</v>
      </c>
      <c r="K460" s="76">
        <f t="shared" si="84"/>
        <v>0</v>
      </c>
      <c r="L460" s="76">
        <f t="shared" si="85"/>
        <v>0</v>
      </c>
      <c r="M460" s="76">
        <f t="shared" si="86"/>
        <v>0</v>
      </c>
      <c r="N460" s="76">
        <f t="shared" si="87"/>
        <v>0</v>
      </c>
      <c r="O460" s="76">
        <f t="shared" si="88"/>
        <v>0</v>
      </c>
      <c r="P460" s="76">
        <f t="shared" si="95"/>
        <v>94193.249999999898</v>
      </c>
      <c r="Q460" s="78">
        <v>410</v>
      </c>
      <c r="R460" s="77">
        <f>IFERROR(EOMONTH(DATE($F$10,$F$9,1),410-1),"")</f>
        <v>57404</v>
      </c>
      <c r="S460" s="76">
        <f t="shared" si="96"/>
        <v>0</v>
      </c>
      <c r="T460" s="76">
        <f t="shared" si="89"/>
        <v>0</v>
      </c>
      <c r="U460" s="76">
        <f t="shared" si="90"/>
        <v>0</v>
      </c>
      <c r="V460" s="76">
        <f t="shared" si="91"/>
        <v>0</v>
      </c>
      <c r="W460" s="76">
        <f t="shared" si="92"/>
        <v>0</v>
      </c>
      <c r="X460" s="76">
        <f t="shared" si="93"/>
        <v>0</v>
      </c>
      <c r="Y460" s="76">
        <f t="shared" si="97"/>
        <v>173145.40000000002</v>
      </c>
    </row>
    <row r="461" spans="8:25">
      <c r="H461" s="84">
        <v>411</v>
      </c>
      <c r="I461" s="83">
        <f>IFERROR(EOMONTH(DATE($C$10,$C$9,1),411-1),"")</f>
        <v>57435</v>
      </c>
      <c r="J461" s="82">
        <f t="shared" si="94"/>
        <v>0</v>
      </c>
      <c r="K461" s="82">
        <f t="shared" si="84"/>
        <v>0</v>
      </c>
      <c r="L461" s="82">
        <f t="shared" si="85"/>
        <v>0</v>
      </c>
      <c r="M461" s="82">
        <f t="shared" si="86"/>
        <v>0</v>
      </c>
      <c r="N461" s="82">
        <f t="shared" si="87"/>
        <v>0</v>
      </c>
      <c r="O461" s="82">
        <f t="shared" si="88"/>
        <v>0</v>
      </c>
      <c r="P461" s="82">
        <f t="shared" si="95"/>
        <v>94193.249999999898</v>
      </c>
      <c r="Q461" s="81">
        <v>411</v>
      </c>
      <c r="R461" s="80">
        <f>IFERROR(EOMONTH(DATE($F$10,$F$9,1),411-1),"")</f>
        <v>57435</v>
      </c>
      <c r="S461" s="79">
        <f t="shared" si="96"/>
        <v>0</v>
      </c>
      <c r="T461" s="79">
        <f t="shared" si="89"/>
        <v>0</v>
      </c>
      <c r="U461" s="79">
        <f t="shared" si="90"/>
        <v>0</v>
      </c>
      <c r="V461" s="79">
        <f t="shared" si="91"/>
        <v>0</v>
      </c>
      <c r="W461" s="79">
        <f t="shared" si="92"/>
        <v>0</v>
      </c>
      <c r="X461" s="79">
        <f t="shared" si="93"/>
        <v>0</v>
      </c>
      <c r="Y461" s="79">
        <f t="shared" si="97"/>
        <v>173145.40000000002</v>
      </c>
    </row>
    <row r="462" spans="8:25">
      <c r="H462" s="78">
        <v>412</v>
      </c>
      <c r="I462" s="77">
        <f>IFERROR(EOMONTH(DATE($C$10,$C$9,1),412-1),"")</f>
        <v>57465</v>
      </c>
      <c r="J462" s="76">
        <f t="shared" si="94"/>
        <v>0</v>
      </c>
      <c r="K462" s="76">
        <f t="shared" si="84"/>
        <v>0</v>
      </c>
      <c r="L462" s="76">
        <f t="shared" si="85"/>
        <v>0</v>
      </c>
      <c r="M462" s="76">
        <f t="shared" si="86"/>
        <v>0</v>
      </c>
      <c r="N462" s="76">
        <f t="shared" si="87"/>
        <v>0</v>
      </c>
      <c r="O462" s="76">
        <f t="shared" si="88"/>
        <v>0</v>
      </c>
      <c r="P462" s="76">
        <f t="shared" si="95"/>
        <v>94193.249999999898</v>
      </c>
      <c r="Q462" s="78">
        <v>412</v>
      </c>
      <c r="R462" s="77">
        <f>IFERROR(EOMONTH(DATE($F$10,$F$9,1),412-1),"")</f>
        <v>57465</v>
      </c>
      <c r="S462" s="76">
        <f t="shared" si="96"/>
        <v>0</v>
      </c>
      <c r="T462" s="76">
        <f t="shared" si="89"/>
        <v>0</v>
      </c>
      <c r="U462" s="76">
        <f t="shared" si="90"/>
        <v>0</v>
      </c>
      <c r="V462" s="76">
        <f t="shared" si="91"/>
        <v>0</v>
      </c>
      <c r="W462" s="76">
        <f t="shared" si="92"/>
        <v>0</v>
      </c>
      <c r="X462" s="76">
        <f t="shared" si="93"/>
        <v>0</v>
      </c>
      <c r="Y462" s="76">
        <f t="shared" si="97"/>
        <v>173145.40000000002</v>
      </c>
    </row>
    <row r="463" spans="8:25">
      <c r="H463" s="84">
        <v>413</v>
      </c>
      <c r="I463" s="83">
        <f>IFERROR(EOMONTH(DATE($C$10,$C$9,1),413-1),"")</f>
        <v>57496</v>
      </c>
      <c r="J463" s="82">
        <f t="shared" si="94"/>
        <v>0</v>
      </c>
      <c r="K463" s="82">
        <f t="shared" si="84"/>
        <v>0</v>
      </c>
      <c r="L463" s="82">
        <f t="shared" si="85"/>
        <v>0</v>
      </c>
      <c r="M463" s="82">
        <f t="shared" si="86"/>
        <v>0</v>
      </c>
      <c r="N463" s="82">
        <f t="shared" si="87"/>
        <v>0</v>
      </c>
      <c r="O463" s="82">
        <f t="shared" si="88"/>
        <v>0</v>
      </c>
      <c r="P463" s="82">
        <f t="shared" si="95"/>
        <v>94193.249999999898</v>
      </c>
      <c r="Q463" s="81">
        <v>413</v>
      </c>
      <c r="R463" s="80">
        <f>IFERROR(EOMONTH(DATE($F$10,$F$9,1),413-1),"")</f>
        <v>57496</v>
      </c>
      <c r="S463" s="79">
        <f t="shared" si="96"/>
        <v>0</v>
      </c>
      <c r="T463" s="79">
        <f t="shared" si="89"/>
        <v>0</v>
      </c>
      <c r="U463" s="79">
        <f t="shared" si="90"/>
        <v>0</v>
      </c>
      <c r="V463" s="79">
        <f t="shared" si="91"/>
        <v>0</v>
      </c>
      <c r="W463" s="79">
        <f t="shared" si="92"/>
        <v>0</v>
      </c>
      <c r="X463" s="79">
        <f t="shared" si="93"/>
        <v>0</v>
      </c>
      <c r="Y463" s="79">
        <f t="shared" si="97"/>
        <v>173145.40000000002</v>
      </c>
    </row>
    <row r="464" spans="8:25">
      <c r="H464" s="78">
        <v>414</v>
      </c>
      <c r="I464" s="77">
        <f>IFERROR(EOMONTH(DATE($C$10,$C$9,1),414-1),"")</f>
        <v>57526</v>
      </c>
      <c r="J464" s="76">
        <f t="shared" si="94"/>
        <v>0</v>
      </c>
      <c r="K464" s="76">
        <f t="shared" si="84"/>
        <v>0</v>
      </c>
      <c r="L464" s="76">
        <f t="shared" si="85"/>
        <v>0</v>
      </c>
      <c r="M464" s="76">
        <f t="shared" si="86"/>
        <v>0</v>
      </c>
      <c r="N464" s="76">
        <f t="shared" si="87"/>
        <v>0</v>
      </c>
      <c r="O464" s="76">
        <f t="shared" si="88"/>
        <v>0</v>
      </c>
      <c r="P464" s="76">
        <f t="shared" si="95"/>
        <v>94193.249999999898</v>
      </c>
      <c r="Q464" s="78">
        <v>414</v>
      </c>
      <c r="R464" s="77">
        <f>IFERROR(EOMONTH(DATE($F$10,$F$9,1),414-1),"")</f>
        <v>57526</v>
      </c>
      <c r="S464" s="76">
        <f t="shared" si="96"/>
        <v>0</v>
      </c>
      <c r="T464" s="76">
        <f t="shared" si="89"/>
        <v>0</v>
      </c>
      <c r="U464" s="76">
        <f t="shared" si="90"/>
        <v>0</v>
      </c>
      <c r="V464" s="76">
        <f t="shared" si="91"/>
        <v>0</v>
      </c>
      <c r="W464" s="76">
        <f t="shared" si="92"/>
        <v>0</v>
      </c>
      <c r="X464" s="76">
        <f t="shared" si="93"/>
        <v>0</v>
      </c>
      <c r="Y464" s="76">
        <f t="shared" si="97"/>
        <v>173145.40000000002</v>
      </c>
    </row>
    <row r="465" spans="8:25">
      <c r="H465" s="84">
        <v>415</v>
      </c>
      <c r="I465" s="83">
        <f>IFERROR(EOMONTH(DATE($C$10,$C$9,1),415-1),"")</f>
        <v>57557</v>
      </c>
      <c r="J465" s="82">
        <f t="shared" si="94"/>
        <v>0</v>
      </c>
      <c r="K465" s="82">
        <f t="shared" si="84"/>
        <v>0</v>
      </c>
      <c r="L465" s="82">
        <f t="shared" si="85"/>
        <v>0</v>
      </c>
      <c r="M465" s="82">
        <f t="shared" si="86"/>
        <v>0</v>
      </c>
      <c r="N465" s="82">
        <f t="shared" si="87"/>
        <v>0</v>
      </c>
      <c r="O465" s="82">
        <f t="shared" si="88"/>
        <v>0</v>
      </c>
      <c r="P465" s="82">
        <f t="shared" si="95"/>
        <v>94193.249999999898</v>
      </c>
      <c r="Q465" s="81">
        <v>415</v>
      </c>
      <c r="R465" s="80">
        <f>IFERROR(EOMONTH(DATE($F$10,$F$9,1),415-1),"")</f>
        <v>57557</v>
      </c>
      <c r="S465" s="79">
        <f t="shared" si="96"/>
        <v>0</v>
      </c>
      <c r="T465" s="79">
        <f t="shared" si="89"/>
        <v>0</v>
      </c>
      <c r="U465" s="79">
        <f t="shared" si="90"/>
        <v>0</v>
      </c>
      <c r="V465" s="79">
        <f t="shared" si="91"/>
        <v>0</v>
      </c>
      <c r="W465" s="79">
        <f t="shared" si="92"/>
        <v>0</v>
      </c>
      <c r="X465" s="79">
        <f t="shared" si="93"/>
        <v>0</v>
      </c>
      <c r="Y465" s="79">
        <f t="shared" si="97"/>
        <v>173145.40000000002</v>
      </c>
    </row>
    <row r="466" spans="8:25">
      <c r="H466" s="78">
        <v>416</v>
      </c>
      <c r="I466" s="77">
        <f>IFERROR(EOMONTH(DATE($C$10,$C$9,1),416-1),"")</f>
        <v>57588</v>
      </c>
      <c r="J466" s="76">
        <f t="shared" si="94"/>
        <v>0</v>
      </c>
      <c r="K466" s="76">
        <f t="shared" si="84"/>
        <v>0</v>
      </c>
      <c r="L466" s="76">
        <f t="shared" si="85"/>
        <v>0</v>
      </c>
      <c r="M466" s="76">
        <f t="shared" si="86"/>
        <v>0</v>
      </c>
      <c r="N466" s="76">
        <f t="shared" si="87"/>
        <v>0</v>
      </c>
      <c r="O466" s="76">
        <f t="shared" si="88"/>
        <v>0</v>
      </c>
      <c r="P466" s="76">
        <f t="shared" si="95"/>
        <v>94193.249999999898</v>
      </c>
      <c r="Q466" s="78">
        <v>416</v>
      </c>
      <c r="R466" s="77">
        <f>IFERROR(EOMONTH(DATE($F$10,$F$9,1),416-1),"")</f>
        <v>57588</v>
      </c>
      <c r="S466" s="76">
        <f t="shared" si="96"/>
        <v>0</v>
      </c>
      <c r="T466" s="76">
        <f t="shared" si="89"/>
        <v>0</v>
      </c>
      <c r="U466" s="76">
        <f t="shared" si="90"/>
        <v>0</v>
      </c>
      <c r="V466" s="76">
        <f t="shared" si="91"/>
        <v>0</v>
      </c>
      <c r="W466" s="76">
        <f t="shared" si="92"/>
        <v>0</v>
      </c>
      <c r="X466" s="76">
        <f t="shared" si="93"/>
        <v>0</v>
      </c>
      <c r="Y466" s="76">
        <f t="shared" si="97"/>
        <v>173145.40000000002</v>
      </c>
    </row>
    <row r="467" spans="8:25">
      <c r="H467" s="84">
        <v>417</v>
      </c>
      <c r="I467" s="83">
        <f>IFERROR(EOMONTH(DATE($C$10,$C$9,1),417-1),"")</f>
        <v>57618</v>
      </c>
      <c r="J467" s="82">
        <f t="shared" si="94"/>
        <v>0</v>
      </c>
      <c r="K467" s="82">
        <f t="shared" si="84"/>
        <v>0</v>
      </c>
      <c r="L467" s="82">
        <f t="shared" si="85"/>
        <v>0</v>
      </c>
      <c r="M467" s="82">
        <f t="shared" si="86"/>
        <v>0</v>
      </c>
      <c r="N467" s="82">
        <f t="shared" si="87"/>
        <v>0</v>
      </c>
      <c r="O467" s="82">
        <f t="shared" si="88"/>
        <v>0</v>
      </c>
      <c r="P467" s="82">
        <f t="shared" si="95"/>
        <v>94193.249999999898</v>
      </c>
      <c r="Q467" s="81">
        <v>417</v>
      </c>
      <c r="R467" s="80">
        <f>IFERROR(EOMONTH(DATE($F$10,$F$9,1),417-1),"")</f>
        <v>57618</v>
      </c>
      <c r="S467" s="79">
        <f t="shared" si="96"/>
        <v>0</v>
      </c>
      <c r="T467" s="79">
        <f t="shared" si="89"/>
        <v>0</v>
      </c>
      <c r="U467" s="79">
        <f t="shared" si="90"/>
        <v>0</v>
      </c>
      <c r="V467" s="79">
        <f t="shared" si="91"/>
        <v>0</v>
      </c>
      <c r="W467" s="79">
        <f t="shared" si="92"/>
        <v>0</v>
      </c>
      <c r="X467" s="79">
        <f t="shared" si="93"/>
        <v>0</v>
      </c>
      <c r="Y467" s="79">
        <f t="shared" si="97"/>
        <v>173145.40000000002</v>
      </c>
    </row>
    <row r="468" spans="8:25">
      <c r="H468" s="78">
        <v>418</v>
      </c>
      <c r="I468" s="77">
        <f>IFERROR(EOMONTH(DATE($C$10,$C$9,1),418-1),"")</f>
        <v>57649</v>
      </c>
      <c r="J468" s="76">
        <f t="shared" si="94"/>
        <v>0</v>
      </c>
      <c r="K468" s="76">
        <f t="shared" si="84"/>
        <v>0</v>
      </c>
      <c r="L468" s="76">
        <f t="shared" si="85"/>
        <v>0</v>
      </c>
      <c r="M468" s="76">
        <f t="shared" si="86"/>
        <v>0</v>
      </c>
      <c r="N468" s="76">
        <f t="shared" si="87"/>
        <v>0</v>
      </c>
      <c r="O468" s="76">
        <f t="shared" si="88"/>
        <v>0</v>
      </c>
      <c r="P468" s="76">
        <f t="shared" si="95"/>
        <v>94193.249999999898</v>
      </c>
      <c r="Q468" s="78">
        <v>418</v>
      </c>
      <c r="R468" s="77">
        <f>IFERROR(EOMONTH(DATE($F$10,$F$9,1),418-1),"")</f>
        <v>57649</v>
      </c>
      <c r="S468" s="76">
        <f t="shared" si="96"/>
        <v>0</v>
      </c>
      <c r="T468" s="76">
        <f t="shared" si="89"/>
        <v>0</v>
      </c>
      <c r="U468" s="76">
        <f t="shared" si="90"/>
        <v>0</v>
      </c>
      <c r="V468" s="76">
        <f t="shared" si="91"/>
        <v>0</v>
      </c>
      <c r="W468" s="76">
        <f t="shared" si="92"/>
        <v>0</v>
      </c>
      <c r="X468" s="76">
        <f t="shared" si="93"/>
        <v>0</v>
      </c>
      <c r="Y468" s="76">
        <f t="shared" si="97"/>
        <v>173145.40000000002</v>
      </c>
    </row>
    <row r="469" spans="8:25">
      <c r="H469" s="84">
        <v>419</v>
      </c>
      <c r="I469" s="83">
        <f>IFERROR(EOMONTH(DATE($C$10,$C$9,1),419-1),"")</f>
        <v>57679</v>
      </c>
      <c r="J469" s="82">
        <f t="shared" si="94"/>
        <v>0</v>
      </c>
      <c r="K469" s="82">
        <f t="shared" si="84"/>
        <v>0</v>
      </c>
      <c r="L469" s="82">
        <f t="shared" si="85"/>
        <v>0</v>
      </c>
      <c r="M469" s="82">
        <f t="shared" si="86"/>
        <v>0</v>
      </c>
      <c r="N469" s="82">
        <f t="shared" si="87"/>
        <v>0</v>
      </c>
      <c r="O469" s="82">
        <f t="shared" si="88"/>
        <v>0</v>
      </c>
      <c r="P469" s="82">
        <f t="shared" si="95"/>
        <v>94193.249999999898</v>
      </c>
      <c r="Q469" s="81">
        <v>419</v>
      </c>
      <c r="R469" s="80">
        <f>IFERROR(EOMONTH(DATE($F$10,$F$9,1),419-1),"")</f>
        <v>57679</v>
      </c>
      <c r="S469" s="79">
        <f t="shared" si="96"/>
        <v>0</v>
      </c>
      <c r="T469" s="79">
        <f t="shared" si="89"/>
        <v>0</v>
      </c>
      <c r="U469" s="79">
        <f t="shared" si="90"/>
        <v>0</v>
      </c>
      <c r="V469" s="79">
        <f t="shared" si="91"/>
        <v>0</v>
      </c>
      <c r="W469" s="79">
        <f t="shared" si="92"/>
        <v>0</v>
      </c>
      <c r="X469" s="79">
        <f t="shared" si="93"/>
        <v>0</v>
      </c>
      <c r="Y469" s="79">
        <f t="shared" si="97"/>
        <v>173145.40000000002</v>
      </c>
    </row>
    <row r="470" spans="8:25">
      <c r="H470" s="78">
        <v>420</v>
      </c>
      <c r="I470" s="77">
        <f>IFERROR(EOMONTH(DATE($C$10,$C$9,1),420-1),"")</f>
        <v>57710</v>
      </c>
      <c r="J470" s="76">
        <f t="shared" si="94"/>
        <v>0</v>
      </c>
      <c r="K470" s="76">
        <f t="shared" si="84"/>
        <v>0</v>
      </c>
      <c r="L470" s="76">
        <f t="shared" si="85"/>
        <v>0</v>
      </c>
      <c r="M470" s="76">
        <f t="shared" si="86"/>
        <v>0</v>
      </c>
      <c r="N470" s="76">
        <f t="shared" si="87"/>
        <v>0</v>
      </c>
      <c r="O470" s="76">
        <f t="shared" si="88"/>
        <v>0</v>
      </c>
      <c r="P470" s="76">
        <f t="shared" si="95"/>
        <v>94193.249999999898</v>
      </c>
      <c r="Q470" s="78">
        <v>420</v>
      </c>
      <c r="R470" s="77">
        <f>IFERROR(EOMONTH(DATE($F$10,$F$9,1),420-1),"")</f>
        <v>57710</v>
      </c>
      <c r="S470" s="76">
        <f t="shared" si="96"/>
        <v>0</v>
      </c>
      <c r="T470" s="76">
        <f t="shared" si="89"/>
        <v>0</v>
      </c>
      <c r="U470" s="76">
        <f t="shared" si="90"/>
        <v>0</v>
      </c>
      <c r="V470" s="76">
        <f t="shared" si="91"/>
        <v>0</v>
      </c>
      <c r="W470" s="76">
        <f t="shared" si="92"/>
        <v>0</v>
      </c>
      <c r="X470" s="76">
        <f t="shared" si="93"/>
        <v>0</v>
      </c>
      <c r="Y470" s="76">
        <f t="shared" si="97"/>
        <v>173145.40000000002</v>
      </c>
    </row>
    <row r="471" spans="8:25">
      <c r="H471" s="84">
        <v>421</v>
      </c>
      <c r="I471" s="83">
        <f>IFERROR(EOMONTH(DATE($C$10,$C$9,1),421-1),"")</f>
        <v>57741</v>
      </c>
      <c r="J471" s="82">
        <f t="shared" si="94"/>
        <v>0</v>
      </c>
      <c r="K471" s="82">
        <f t="shared" si="84"/>
        <v>0</v>
      </c>
      <c r="L471" s="82">
        <f t="shared" si="85"/>
        <v>0</v>
      </c>
      <c r="M471" s="82">
        <f t="shared" si="86"/>
        <v>0</v>
      </c>
      <c r="N471" s="82">
        <f t="shared" si="87"/>
        <v>0</v>
      </c>
      <c r="O471" s="82">
        <f t="shared" si="88"/>
        <v>0</v>
      </c>
      <c r="P471" s="82">
        <f t="shared" si="95"/>
        <v>94193.249999999898</v>
      </c>
      <c r="Q471" s="81">
        <v>421</v>
      </c>
      <c r="R471" s="80">
        <f>IFERROR(EOMONTH(DATE($F$10,$F$9,1),421-1),"")</f>
        <v>57741</v>
      </c>
      <c r="S471" s="79">
        <f t="shared" si="96"/>
        <v>0</v>
      </c>
      <c r="T471" s="79">
        <f t="shared" si="89"/>
        <v>0</v>
      </c>
      <c r="U471" s="79">
        <f t="shared" si="90"/>
        <v>0</v>
      </c>
      <c r="V471" s="79">
        <f t="shared" si="91"/>
        <v>0</v>
      </c>
      <c r="W471" s="79">
        <f t="shared" si="92"/>
        <v>0</v>
      </c>
      <c r="X471" s="79">
        <f t="shared" si="93"/>
        <v>0</v>
      </c>
      <c r="Y471" s="79">
        <f t="shared" si="97"/>
        <v>173145.40000000002</v>
      </c>
    </row>
    <row r="472" spans="8:25">
      <c r="H472" s="78">
        <v>422</v>
      </c>
      <c r="I472" s="77">
        <f>IFERROR(EOMONTH(DATE($C$10,$C$9,1),422-1),"")</f>
        <v>57769</v>
      </c>
      <c r="J472" s="76">
        <f t="shared" si="94"/>
        <v>0</v>
      </c>
      <c r="K472" s="76">
        <f t="shared" si="84"/>
        <v>0</v>
      </c>
      <c r="L472" s="76">
        <f t="shared" si="85"/>
        <v>0</v>
      </c>
      <c r="M472" s="76">
        <f t="shared" si="86"/>
        <v>0</v>
      </c>
      <c r="N472" s="76">
        <f t="shared" si="87"/>
        <v>0</v>
      </c>
      <c r="O472" s="76">
        <f t="shared" si="88"/>
        <v>0</v>
      </c>
      <c r="P472" s="76">
        <f t="shared" si="95"/>
        <v>94193.249999999898</v>
      </c>
      <c r="Q472" s="78">
        <v>422</v>
      </c>
      <c r="R472" s="77">
        <f>IFERROR(EOMONTH(DATE($F$10,$F$9,1),422-1),"")</f>
        <v>57769</v>
      </c>
      <c r="S472" s="76">
        <f t="shared" si="96"/>
        <v>0</v>
      </c>
      <c r="T472" s="76">
        <f t="shared" si="89"/>
        <v>0</v>
      </c>
      <c r="U472" s="76">
        <f t="shared" si="90"/>
        <v>0</v>
      </c>
      <c r="V472" s="76">
        <f t="shared" si="91"/>
        <v>0</v>
      </c>
      <c r="W472" s="76">
        <f t="shared" si="92"/>
        <v>0</v>
      </c>
      <c r="X472" s="76">
        <f t="shared" si="93"/>
        <v>0</v>
      </c>
      <c r="Y472" s="76">
        <f t="shared" si="97"/>
        <v>173145.40000000002</v>
      </c>
    </row>
    <row r="473" spans="8:25">
      <c r="H473" s="84">
        <v>423</v>
      </c>
      <c r="I473" s="83">
        <f>IFERROR(EOMONTH(DATE($C$10,$C$9,1),423-1),"")</f>
        <v>57800</v>
      </c>
      <c r="J473" s="82">
        <f t="shared" si="94"/>
        <v>0</v>
      </c>
      <c r="K473" s="82">
        <f t="shared" si="84"/>
        <v>0</v>
      </c>
      <c r="L473" s="82">
        <f t="shared" si="85"/>
        <v>0</v>
      </c>
      <c r="M473" s="82">
        <f t="shared" si="86"/>
        <v>0</v>
      </c>
      <c r="N473" s="82">
        <f t="shared" si="87"/>
        <v>0</v>
      </c>
      <c r="O473" s="82">
        <f t="shared" si="88"/>
        <v>0</v>
      </c>
      <c r="P473" s="82">
        <f t="shared" si="95"/>
        <v>94193.249999999898</v>
      </c>
      <c r="Q473" s="81">
        <v>423</v>
      </c>
      <c r="R473" s="80">
        <f>IFERROR(EOMONTH(DATE($F$10,$F$9,1),423-1),"")</f>
        <v>57800</v>
      </c>
      <c r="S473" s="79">
        <f t="shared" si="96"/>
        <v>0</v>
      </c>
      <c r="T473" s="79">
        <f t="shared" si="89"/>
        <v>0</v>
      </c>
      <c r="U473" s="79">
        <f t="shared" si="90"/>
        <v>0</v>
      </c>
      <c r="V473" s="79">
        <f t="shared" si="91"/>
        <v>0</v>
      </c>
      <c r="W473" s="79">
        <f t="shared" si="92"/>
        <v>0</v>
      </c>
      <c r="X473" s="79">
        <f t="shared" si="93"/>
        <v>0</v>
      </c>
      <c r="Y473" s="79">
        <f t="shared" si="97"/>
        <v>173145.40000000002</v>
      </c>
    </row>
    <row r="474" spans="8:25">
      <c r="H474" s="78">
        <v>424</v>
      </c>
      <c r="I474" s="77">
        <f>IFERROR(EOMONTH(DATE($C$10,$C$9,1),424-1),"")</f>
        <v>57830</v>
      </c>
      <c r="J474" s="76">
        <f t="shared" si="94"/>
        <v>0</v>
      </c>
      <c r="K474" s="76">
        <f t="shared" si="84"/>
        <v>0</v>
      </c>
      <c r="L474" s="76">
        <f t="shared" si="85"/>
        <v>0</v>
      </c>
      <c r="M474" s="76">
        <f t="shared" si="86"/>
        <v>0</v>
      </c>
      <c r="N474" s="76">
        <f t="shared" si="87"/>
        <v>0</v>
      </c>
      <c r="O474" s="76">
        <f t="shared" si="88"/>
        <v>0</v>
      </c>
      <c r="P474" s="76">
        <f t="shared" si="95"/>
        <v>94193.249999999898</v>
      </c>
      <c r="Q474" s="78">
        <v>424</v>
      </c>
      <c r="R474" s="77">
        <f>IFERROR(EOMONTH(DATE($F$10,$F$9,1),424-1),"")</f>
        <v>57830</v>
      </c>
      <c r="S474" s="76">
        <f t="shared" si="96"/>
        <v>0</v>
      </c>
      <c r="T474" s="76">
        <f t="shared" si="89"/>
        <v>0</v>
      </c>
      <c r="U474" s="76">
        <f t="shared" si="90"/>
        <v>0</v>
      </c>
      <c r="V474" s="76">
        <f t="shared" si="91"/>
        <v>0</v>
      </c>
      <c r="W474" s="76">
        <f t="shared" si="92"/>
        <v>0</v>
      </c>
      <c r="X474" s="76">
        <f t="shared" si="93"/>
        <v>0</v>
      </c>
      <c r="Y474" s="76">
        <f t="shared" si="97"/>
        <v>173145.40000000002</v>
      </c>
    </row>
    <row r="475" spans="8:25">
      <c r="H475" s="84">
        <v>425</v>
      </c>
      <c r="I475" s="83">
        <f>IFERROR(EOMONTH(DATE($C$10,$C$9,1),425-1),"")</f>
        <v>57861</v>
      </c>
      <c r="J475" s="82">
        <f t="shared" si="94"/>
        <v>0</v>
      </c>
      <c r="K475" s="82">
        <f t="shared" si="84"/>
        <v>0</v>
      </c>
      <c r="L475" s="82">
        <f t="shared" si="85"/>
        <v>0</v>
      </c>
      <c r="M475" s="82">
        <f t="shared" si="86"/>
        <v>0</v>
      </c>
      <c r="N475" s="82">
        <f t="shared" si="87"/>
        <v>0</v>
      </c>
      <c r="O475" s="82">
        <f t="shared" si="88"/>
        <v>0</v>
      </c>
      <c r="P475" s="82">
        <f t="shared" si="95"/>
        <v>94193.249999999898</v>
      </c>
      <c r="Q475" s="81">
        <v>425</v>
      </c>
      <c r="R475" s="80">
        <f>IFERROR(EOMONTH(DATE($F$10,$F$9,1),425-1),"")</f>
        <v>57861</v>
      </c>
      <c r="S475" s="79">
        <f t="shared" si="96"/>
        <v>0</v>
      </c>
      <c r="T475" s="79">
        <f t="shared" si="89"/>
        <v>0</v>
      </c>
      <c r="U475" s="79">
        <f t="shared" si="90"/>
        <v>0</v>
      </c>
      <c r="V475" s="79">
        <f t="shared" si="91"/>
        <v>0</v>
      </c>
      <c r="W475" s="79">
        <f t="shared" si="92"/>
        <v>0</v>
      </c>
      <c r="X475" s="79">
        <f t="shared" si="93"/>
        <v>0</v>
      </c>
      <c r="Y475" s="79">
        <f t="shared" si="97"/>
        <v>173145.40000000002</v>
      </c>
    </row>
    <row r="476" spans="8:25">
      <c r="H476" s="78">
        <v>426</v>
      </c>
      <c r="I476" s="77">
        <f>IFERROR(EOMONTH(DATE($C$10,$C$9,1),426-1),"")</f>
        <v>57891</v>
      </c>
      <c r="J476" s="76">
        <f t="shared" si="94"/>
        <v>0</v>
      </c>
      <c r="K476" s="76">
        <f t="shared" si="84"/>
        <v>0</v>
      </c>
      <c r="L476" s="76">
        <f t="shared" si="85"/>
        <v>0</v>
      </c>
      <c r="M476" s="76">
        <f t="shared" si="86"/>
        <v>0</v>
      </c>
      <c r="N476" s="76">
        <f t="shared" si="87"/>
        <v>0</v>
      </c>
      <c r="O476" s="76">
        <f t="shared" si="88"/>
        <v>0</v>
      </c>
      <c r="P476" s="76">
        <f t="shared" si="95"/>
        <v>94193.249999999898</v>
      </c>
      <c r="Q476" s="78">
        <v>426</v>
      </c>
      <c r="R476" s="77">
        <f>IFERROR(EOMONTH(DATE($F$10,$F$9,1),426-1),"")</f>
        <v>57891</v>
      </c>
      <c r="S476" s="76">
        <f t="shared" si="96"/>
        <v>0</v>
      </c>
      <c r="T476" s="76">
        <f t="shared" si="89"/>
        <v>0</v>
      </c>
      <c r="U476" s="76">
        <f t="shared" si="90"/>
        <v>0</v>
      </c>
      <c r="V476" s="76">
        <f t="shared" si="91"/>
        <v>0</v>
      </c>
      <c r="W476" s="76">
        <f t="shared" si="92"/>
        <v>0</v>
      </c>
      <c r="X476" s="76">
        <f t="shared" si="93"/>
        <v>0</v>
      </c>
      <c r="Y476" s="76">
        <f t="shared" si="97"/>
        <v>173145.40000000002</v>
      </c>
    </row>
    <row r="477" spans="8:25">
      <c r="H477" s="84">
        <v>427</v>
      </c>
      <c r="I477" s="83">
        <f>IFERROR(EOMONTH(DATE($C$10,$C$9,1),427-1),"")</f>
        <v>57922</v>
      </c>
      <c r="J477" s="82">
        <f t="shared" si="94"/>
        <v>0</v>
      </c>
      <c r="K477" s="82">
        <f t="shared" si="84"/>
        <v>0</v>
      </c>
      <c r="L477" s="82">
        <f t="shared" si="85"/>
        <v>0</v>
      </c>
      <c r="M477" s="82">
        <f t="shared" si="86"/>
        <v>0</v>
      </c>
      <c r="N477" s="82">
        <f t="shared" si="87"/>
        <v>0</v>
      </c>
      <c r="O477" s="82">
        <f t="shared" si="88"/>
        <v>0</v>
      </c>
      <c r="P477" s="82">
        <f t="shared" si="95"/>
        <v>94193.249999999898</v>
      </c>
      <c r="Q477" s="81">
        <v>427</v>
      </c>
      <c r="R477" s="80">
        <f>IFERROR(EOMONTH(DATE($F$10,$F$9,1),427-1),"")</f>
        <v>57922</v>
      </c>
      <c r="S477" s="79">
        <f t="shared" si="96"/>
        <v>0</v>
      </c>
      <c r="T477" s="79">
        <f t="shared" si="89"/>
        <v>0</v>
      </c>
      <c r="U477" s="79">
        <f t="shared" si="90"/>
        <v>0</v>
      </c>
      <c r="V477" s="79">
        <f t="shared" si="91"/>
        <v>0</v>
      </c>
      <c r="W477" s="79">
        <f t="shared" si="92"/>
        <v>0</v>
      </c>
      <c r="X477" s="79">
        <f t="shared" si="93"/>
        <v>0</v>
      </c>
      <c r="Y477" s="79">
        <f t="shared" si="97"/>
        <v>173145.40000000002</v>
      </c>
    </row>
    <row r="478" spans="8:25">
      <c r="H478" s="78">
        <v>428</v>
      </c>
      <c r="I478" s="77">
        <f>IFERROR(EOMONTH(DATE($C$10,$C$9,1),428-1),"")</f>
        <v>57953</v>
      </c>
      <c r="J478" s="76">
        <f t="shared" si="94"/>
        <v>0</v>
      </c>
      <c r="K478" s="76">
        <f t="shared" si="84"/>
        <v>0</v>
      </c>
      <c r="L478" s="76">
        <f t="shared" si="85"/>
        <v>0</v>
      </c>
      <c r="M478" s="76">
        <f t="shared" si="86"/>
        <v>0</v>
      </c>
      <c r="N478" s="76">
        <f t="shared" si="87"/>
        <v>0</v>
      </c>
      <c r="O478" s="76">
        <f t="shared" si="88"/>
        <v>0</v>
      </c>
      <c r="P478" s="76">
        <f t="shared" si="95"/>
        <v>94193.249999999898</v>
      </c>
      <c r="Q478" s="78">
        <v>428</v>
      </c>
      <c r="R478" s="77">
        <f>IFERROR(EOMONTH(DATE($F$10,$F$9,1),428-1),"")</f>
        <v>57953</v>
      </c>
      <c r="S478" s="76">
        <f t="shared" si="96"/>
        <v>0</v>
      </c>
      <c r="T478" s="76">
        <f t="shared" si="89"/>
        <v>0</v>
      </c>
      <c r="U478" s="76">
        <f t="shared" si="90"/>
        <v>0</v>
      </c>
      <c r="V478" s="76">
        <f t="shared" si="91"/>
        <v>0</v>
      </c>
      <c r="W478" s="76">
        <f t="shared" si="92"/>
        <v>0</v>
      </c>
      <c r="X478" s="76">
        <f t="shared" si="93"/>
        <v>0</v>
      </c>
      <c r="Y478" s="76">
        <f t="shared" si="97"/>
        <v>173145.40000000002</v>
      </c>
    </row>
    <row r="479" spans="8:25">
      <c r="H479" s="84">
        <v>429</v>
      </c>
      <c r="I479" s="83">
        <f>IFERROR(EOMONTH(DATE($C$10,$C$9,1),429-1),"")</f>
        <v>57983</v>
      </c>
      <c r="J479" s="82">
        <f t="shared" si="94"/>
        <v>0</v>
      </c>
      <c r="K479" s="82">
        <f t="shared" si="84"/>
        <v>0</v>
      </c>
      <c r="L479" s="82">
        <f t="shared" si="85"/>
        <v>0</v>
      </c>
      <c r="M479" s="82">
        <f t="shared" si="86"/>
        <v>0</v>
      </c>
      <c r="N479" s="82">
        <f t="shared" si="87"/>
        <v>0</v>
      </c>
      <c r="O479" s="82">
        <f t="shared" si="88"/>
        <v>0</v>
      </c>
      <c r="P479" s="82">
        <f t="shared" si="95"/>
        <v>94193.249999999898</v>
      </c>
      <c r="Q479" s="81">
        <v>429</v>
      </c>
      <c r="R479" s="80">
        <f>IFERROR(EOMONTH(DATE($F$10,$F$9,1),429-1),"")</f>
        <v>57983</v>
      </c>
      <c r="S479" s="79">
        <f t="shared" si="96"/>
        <v>0</v>
      </c>
      <c r="T479" s="79">
        <f t="shared" si="89"/>
        <v>0</v>
      </c>
      <c r="U479" s="79">
        <f t="shared" si="90"/>
        <v>0</v>
      </c>
      <c r="V479" s="79">
        <f t="shared" si="91"/>
        <v>0</v>
      </c>
      <c r="W479" s="79">
        <f t="shared" si="92"/>
        <v>0</v>
      </c>
      <c r="X479" s="79">
        <f t="shared" si="93"/>
        <v>0</v>
      </c>
      <c r="Y479" s="79">
        <f t="shared" si="97"/>
        <v>173145.40000000002</v>
      </c>
    </row>
    <row r="480" spans="8:25">
      <c r="H480" s="78">
        <v>430</v>
      </c>
      <c r="I480" s="77">
        <f>IFERROR(EOMONTH(DATE($C$10,$C$9,1),430-1),"")</f>
        <v>58014</v>
      </c>
      <c r="J480" s="76">
        <f t="shared" si="94"/>
        <v>0</v>
      </c>
      <c r="K480" s="76">
        <f t="shared" si="84"/>
        <v>0</v>
      </c>
      <c r="L480" s="76">
        <f t="shared" si="85"/>
        <v>0</v>
      </c>
      <c r="M480" s="76">
        <f t="shared" si="86"/>
        <v>0</v>
      </c>
      <c r="N480" s="76">
        <f t="shared" si="87"/>
        <v>0</v>
      </c>
      <c r="O480" s="76">
        <f t="shared" si="88"/>
        <v>0</v>
      </c>
      <c r="P480" s="76">
        <f t="shared" si="95"/>
        <v>94193.249999999898</v>
      </c>
      <c r="Q480" s="78">
        <v>430</v>
      </c>
      <c r="R480" s="77">
        <f>IFERROR(EOMONTH(DATE($F$10,$F$9,1),430-1),"")</f>
        <v>58014</v>
      </c>
      <c r="S480" s="76">
        <f t="shared" si="96"/>
        <v>0</v>
      </c>
      <c r="T480" s="76">
        <f t="shared" si="89"/>
        <v>0</v>
      </c>
      <c r="U480" s="76">
        <f t="shared" si="90"/>
        <v>0</v>
      </c>
      <c r="V480" s="76">
        <f t="shared" si="91"/>
        <v>0</v>
      </c>
      <c r="W480" s="76">
        <f t="shared" si="92"/>
        <v>0</v>
      </c>
      <c r="X480" s="76">
        <f t="shared" si="93"/>
        <v>0</v>
      </c>
      <c r="Y480" s="76">
        <f t="shared" si="97"/>
        <v>173145.40000000002</v>
      </c>
    </row>
    <row r="481" spans="8:25">
      <c r="H481" s="84">
        <v>431</v>
      </c>
      <c r="I481" s="83">
        <f>IFERROR(EOMONTH(DATE($C$10,$C$9,1),431-1),"")</f>
        <v>58044</v>
      </c>
      <c r="J481" s="82">
        <f t="shared" si="94"/>
        <v>0</v>
      </c>
      <c r="K481" s="82">
        <f t="shared" si="84"/>
        <v>0</v>
      </c>
      <c r="L481" s="82">
        <f t="shared" si="85"/>
        <v>0</v>
      </c>
      <c r="M481" s="82">
        <f t="shared" si="86"/>
        <v>0</v>
      </c>
      <c r="N481" s="82">
        <f t="shared" si="87"/>
        <v>0</v>
      </c>
      <c r="O481" s="82">
        <f t="shared" si="88"/>
        <v>0</v>
      </c>
      <c r="P481" s="82">
        <f t="shared" si="95"/>
        <v>94193.249999999898</v>
      </c>
      <c r="Q481" s="81">
        <v>431</v>
      </c>
      <c r="R481" s="80">
        <f>IFERROR(EOMONTH(DATE($F$10,$F$9,1),431-1),"")</f>
        <v>58044</v>
      </c>
      <c r="S481" s="79">
        <f t="shared" si="96"/>
        <v>0</v>
      </c>
      <c r="T481" s="79">
        <f t="shared" si="89"/>
        <v>0</v>
      </c>
      <c r="U481" s="79">
        <f t="shared" si="90"/>
        <v>0</v>
      </c>
      <c r="V481" s="79">
        <f t="shared" si="91"/>
        <v>0</v>
      </c>
      <c r="W481" s="79">
        <f t="shared" si="92"/>
        <v>0</v>
      </c>
      <c r="X481" s="79">
        <f t="shared" si="93"/>
        <v>0</v>
      </c>
      <c r="Y481" s="79">
        <f t="shared" si="97"/>
        <v>173145.40000000002</v>
      </c>
    </row>
    <row r="482" spans="8:25">
      <c r="H482" s="78">
        <v>432</v>
      </c>
      <c r="I482" s="77">
        <f>IFERROR(EOMONTH(DATE($C$10,$C$9,1),432-1),"")</f>
        <v>58075</v>
      </c>
      <c r="J482" s="76">
        <f t="shared" si="94"/>
        <v>0</v>
      </c>
      <c r="K482" s="76">
        <f t="shared" si="84"/>
        <v>0</v>
      </c>
      <c r="L482" s="76">
        <f t="shared" si="85"/>
        <v>0</v>
      </c>
      <c r="M482" s="76">
        <f t="shared" si="86"/>
        <v>0</v>
      </c>
      <c r="N482" s="76">
        <f t="shared" si="87"/>
        <v>0</v>
      </c>
      <c r="O482" s="76">
        <f t="shared" si="88"/>
        <v>0</v>
      </c>
      <c r="P482" s="76">
        <f t="shared" si="95"/>
        <v>94193.249999999898</v>
      </c>
      <c r="Q482" s="78">
        <v>432</v>
      </c>
      <c r="R482" s="77">
        <f>IFERROR(EOMONTH(DATE($F$10,$F$9,1),432-1),"")</f>
        <v>58075</v>
      </c>
      <c r="S482" s="76">
        <f t="shared" si="96"/>
        <v>0</v>
      </c>
      <c r="T482" s="76">
        <f t="shared" si="89"/>
        <v>0</v>
      </c>
      <c r="U482" s="76">
        <f t="shared" si="90"/>
        <v>0</v>
      </c>
      <c r="V482" s="76">
        <f t="shared" si="91"/>
        <v>0</v>
      </c>
      <c r="W482" s="76">
        <f t="shared" si="92"/>
        <v>0</v>
      </c>
      <c r="X482" s="76">
        <f t="shared" si="93"/>
        <v>0</v>
      </c>
      <c r="Y482" s="76">
        <f t="shared" si="97"/>
        <v>173145.40000000002</v>
      </c>
    </row>
    <row r="483" spans="8:25">
      <c r="H483" s="84">
        <v>433</v>
      </c>
      <c r="I483" s="83">
        <f>IFERROR(EOMONTH(DATE($C$10,$C$9,1),433-1),"")</f>
        <v>58106</v>
      </c>
      <c r="J483" s="82">
        <f t="shared" si="94"/>
        <v>0</v>
      </c>
      <c r="K483" s="82">
        <f t="shared" si="84"/>
        <v>0</v>
      </c>
      <c r="L483" s="82">
        <f t="shared" si="85"/>
        <v>0</v>
      </c>
      <c r="M483" s="82">
        <f t="shared" si="86"/>
        <v>0</v>
      </c>
      <c r="N483" s="82">
        <f t="shared" si="87"/>
        <v>0</v>
      </c>
      <c r="O483" s="82">
        <f t="shared" si="88"/>
        <v>0</v>
      </c>
      <c r="P483" s="82">
        <f t="shared" si="95"/>
        <v>94193.249999999898</v>
      </c>
      <c r="Q483" s="81">
        <v>433</v>
      </c>
      <c r="R483" s="80">
        <f>IFERROR(EOMONTH(DATE($F$10,$F$9,1),433-1),"")</f>
        <v>58106</v>
      </c>
      <c r="S483" s="79">
        <f t="shared" si="96"/>
        <v>0</v>
      </c>
      <c r="T483" s="79">
        <f t="shared" si="89"/>
        <v>0</v>
      </c>
      <c r="U483" s="79">
        <f t="shared" si="90"/>
        <v>0</v>
      </c>
      <c r="V483" s="79">
        <f t="shared" si="91"/>
        <v>0</v>
      </c>
      <c r="W483" s="79">
        <f t="shared" si="92"/>
        <v>0</v>
      </c>
      <c r="X483" s="79">
        <f t="shared" si="93"/>
        <v>0</v>
      </c>
      <c r="Y483" s="79">
        <f t="shared" si="97"/>
        <v>173145.40000000002</v>
      </c>
    </row>
    <row r="484" spans="8:25">
      <c r="H484" s="78">
        <v>434</v>
      </c>
      <c r="I484" s="77">
        <f>IFERROR(EOMONTH(DATE($C$10,$C$9,1),434-1),"")</f>
        <v>58134</v>
      </c>
      <c r="J484" s="76">
        <f t="shared" si="94"/>
        <v>0</v>
      </c>
      <c r="K484" s="76">
        <f t="shared" si="84"/>
        <v>0</v>
      </c>
      <c r="L484" s="76">
        <f t="shared" si="85"/>
        <v>0</v>
      </c>
      <c r="M484" s="76">
        <f t="shared" si="86"/>
        <v>0</v>
      </c>
      <c r="N484" s="76">
        <f t="shared" si="87"/>
        <v>0</v>
      </c>
      <c r="O484" s="76">
        <f t="shared" si="88"/>
        <v>0</v>
      </c>
      <c r="P484" s="76">
        <f t="shared" si="95"/>
        <v>94193.249999999898</v>
      </c>
      <c r="Q484" s="78">
        <v>434</v>
      </c>
      <c r="R484" s="77">
        <f>IFERROR(EOMONTH(DATE($F$10,$F$9,1),434-1),"")</f>
        <v>58134</v>
      </c>
      <c r="S484" s="76">
        <f t="shared" si="96"/>
        <v>0</v>
      </c>
      <c r="T484" s="76">
        <f t="shared" si="89"/>
        <v>0</v>
      </c>
      <c r="U484" s="76">
        <f t="shared" si="90"/>
        <v>0</v>
      </c>
      <c r="V484" s="76">
        <f t="shared" si="91"/>
        <v>0</v>
      </c>
      <c r="W484" s="76">
        <f t="shared" si="92"/>
        <v>0</v>
      </c>
      <c r="X484" s="76">
        <f t="shared" si="93"/>
        <v>0</v>
      </c>
      <c r="Y484" s="76">
        <f t="shared" si="97"/>
        <v>173145.40000000002</v>
      </c>
    </row>
    <row r="485" spans="8:25">
      <c r="H485" s="84">
        <v>435</v>
      </c>
      <c r="I485" s="83">
        <f>IFERROR(EOMONTH(DATE($C$10,$C$9,1),435-1),"")</f>
        <v>58165</v>
      </c>
      <c r="J485" s="82">
        <f t="shared" si="94"/>
        <v>0</v>
      </c>
      <c r="K485" s="82">
        <f t="shared" si="84"/>
        <v>0</v>
      </c>
      <c r="L485" s="82">
        <f t="shared" si="85"/>
        <v>0</v>
      </c>
      <c r="M485" s="82">
        <f t="shared" si="86"/>
        <v>0</v>
      </c>
      <c r="N485" s="82">
        <f t="shared" si="87"/>
        <v>0</v>
      </c>
      <c r="O485" s="82">
        <f t="shared" si="88"/>
        <v>0</v>
      </c>
      <c r="P485" s="82">
        <f t="shared" si="95"/>
        <v>94193.249999999898</v>
      </c>
      <c r="Q485" s="81">
        <v>435</v>
      </c>
      <c r="R485" s="80">
        <f>IFERROR(EOMONTH(DATE($F$10,$F$9,1),435-1),"")</f>
        <v>58165</v>
      </c>
      <c r="S485" s="79">
        <f t="shared" si="96"/>
        <v>0</v>
      </c>
      <c r="T485" s="79">
        <f t="shared" si="89"/>
        <v>0</v>
      </c>
      <c r="U485" s="79">
        <f t="shared" si="90"/>
        <v>0</v>
      </c>
      <c r="V485" s="79">
        <f t="shared" si="91"/>
        <v>0</v>
      </c>
      <c r="W485" s="79">
        <f t="shared" si="92"/>
        <v>0</v>
      </c>
      <c r="X485" s="79">
        <f t="shared" si="93"/>
        <v>0</v>
      </c>
      <c r="Y485" s="79">
        <f t="shared" si="97"/>
        <v>173145.40000000002</v>
      </c>
    </row>
    <row r="486" spans="8:25">
      <c r="H486" s="78">
        <v>436</v>
      </c>
      <c r="I486" s="77">
        <f>IFERROR(EOMONTH(DATE($C$10,$C$9,1),436-1),"")</f>
        <v>58195</v>
      </c>
      <c r="J486" s="76">
        <f t="shared" si="94"/>
        <v>0</v>
      </c>
      <c r="K486" s="76">
        <f t="shared" si="84"/>
        <v>0</v>
      </c>
      <c r="L486" s="76">
        <f t="shared" si="85"/>
        <v>0</v>
      </c>
      <c r="M486" s="76">
        <f t="shared" si="86"/>
        <v>0</v>
      </c>
      <c r="N486" s="76">
        <f t="shared" si="87"/>
        <v>0</v>
      </c>
      <c r="O486" s="76">
        <f t="shared" si="88"/>
        <v>0</v>
      </c>
      <c r="P486" s="76">
        <f t="shared" si="95"/>
        <v>94193.249999999898</v>
      </c>
      <c r="Q486" s="78">
        <v>436</v>
      </c>
      <c r="R486" s="77">
        <f>IFERROR(EOMONTH(DATE($F$10,$F$9,1),436-1),"")</f>
        <v>58195</v>
      </c>
      <c r="S486" s="76">
        <f t="shared" si="96"/>
        <v>0</v>
      </c>
      <c r="T486" s="76">
        <f t="shared" si="89"/>
        <v>0</v>
      </c>
      <c r="U486" s="76">
        <f t="shared" si="90"/>
        <v>0</v>
      </c>
      <c r="V486" s="76">
        <f t="shared" si="91"/>
        <v>0</v>
      </c>
      <c r="W486" s="76">
        <f t="shared" si="92"/>
        <v>0</v>
      </c>
      <c r="X486" s="76">
        <f t="shared" si="93"/>
        <v>0</v>
      </c>
      <c r="Y486" s="76">
        <f t="shared" si="97"/>
        <v>173145.40000000002</v>
      </c>
    </row>
    <row r="487" spans="8:25">
      <c r="H487" s="84">
        <v>437</v>
      </c>
      <c r="I487" s="83">
        <f>IFERROR(EOMONTH(DATE($C$10,$C$9,1),437-1),"")</f>
        <v>58226</v>
      </c>
      <c r="J487" s="82">
        <f t="shared" si="94"/>
        <v>0</v>
      </c>
      <c r="K487" s="82">
        <f t="shared" si="84"/>
        <v>0</v>
      </c>
      <c r="L487" s="82">
        <f t="shared" si="85"/>
        <v>0</v>
      </c>
      <c r="M487" s="82">
        <f t="shared" si="86"/>
        <v>0</v>
      </c>
      <c r="N487" s="82">
        <f t="shared" si="87"/>
        <v>0</v>
      </c>
      <c r="O487" s="82">
        <f t="shared" si="88"/>
        <v>0</v>
      </c>
      <c r="P487" s="82">
        <f t="shared" si="95"/>
        <v>94193.249999999898</v>
      </c>
      <c r="Q487" s="81">
        <v>437</v>
      </c>
      <c r="R487" s="80">
        <f>IFERROR(EOMONTH(DATE($F$10,$F$9,1),437-1),"")</f>
        <v>58226</v>
      </c>
      <c r="S487" s="79">
        <f t="shared" si="96"/>
        <v>0</v>
      </c>
      <c r="T487" s="79">
        <f t="shared" si="89"/>
        <v>0</v>
      </c>
      <c r="U487" s="79">
        <f t="shared" si="90"/>
        <v>0</v>
      </c>
      <c r="V487" s="79">
        <f t="shared" si="91"/>
        <v>0</v>
      </c>
      <c r="W487" s="79">
        <f t="shared" si="92"/>
        <v>0</v>
      </c>
      <c r="X487" s="79">
        <f t="shared" si="93"/>
        <v>0</v>
      </c>
      <c r="Y487" s="79">
        <f t="shared" si="97"/>
        <v>173145.40000000002</v>
      </c>
    </row>
    <row r="488" spans="8:25">
      <c r="H488" s="78">
        <v>438</v>
      </c>
      <c r="I488" s="77">
        <f>IFERROR(EOMONTH(DATE($C$10,$C$9,1),438-1),"")</f>
        <v>58256</v>
      </c>
      <c r="J488" s="76">
        <f t="shared" si="94"/>
        <v>0</v>
      </c>
      <c r="K488" s="76">
        <f t="shared" si="84"/>
        <v>0</v>
      </c>
      <c r="L488" s="76">
        <f t="shared" si="85"/>
        <v>0</v>
      </c>
      <c r="M488" s="76">
        <f t="shared" si="86"/>
        <v>0</v>
      </c>
      <c r="N488" s="76">
        <f t="shared" si="87"/>
        <v>0</v>
      </c>
      <c r="O488" s="76">
        <f t="shared" si="88"/>
        <v>0</v>
      </c>
      <c r="P488" s="76">
        <f t="shared" si="95"/>
        <v>94193.249999999898</v>
      </c>
      <c r="Q488" s="78">
        <v>438</v>
      </c>
      <c r="R488" s="77">
        <f>IFERROR(EOMONTH(DATE($F$10,$F$9,1),438-1),"")</f>
        <v>58256</v>
      </c>
      <c r="S488" s="76">
        <f t="shared" si="96"/>
        <v>0</v>
      </c>
      <c r="T488" s="76">
        <f t="shared" si="89"/>
        <v>0</v>
      </c>
      <c r="U488" s="76">
        <f t="shared" si="90"/>
        <v>0</v>
      </c>
      <c r="V488" s="76">
        <f t="shared" si="91"/>
        <v>0</v>
      </c>
      <c r="W488" s="76">
        <f t="shared" si="92"/>
        <v>0</v>
      </c>
      <c r="X488" s="76">
        <f t="shared" si="93"/>
        <v>0</v>
      </c>
      <c r="Y488" s="76">
        <f t="shared" si="97"/>
        <v>173145.40000000002</v>
      </c>
    </row>
    <row r="489" spans="8:25">
      <c r="H489" s="84">
        <v>439</v>
      </c>
      <c r="I489" s="83">
        <f>IFERROR(EOMONTH(DATE($C$10,$C$9,1),439-1),"")</f>
        <v>58287</v>
      </c>
      <c r="J489" s="82">
        <f t="shared" si="94"/>
        <v>0</v>
      </c>
      <c r="K489" s="82">
        <f t="shared" si="84"/>
        <v>0</v>
      </c>
      <c r="L489" s="82">
        <f t="shared" si="85"/>
        <v>0</v>
      </c>
      <c r="M489" s="82">
        <f t="shared" si="86"/>
        <v>0</v>
      </c>
      <c r="N489" s="82">
        <f t="shared" si="87"/>
        <v>0</v>
      </c>
      <c r="O489" s="82">
        <f t="shared" si="88"/>
        <v>0</v>
      </c>
      <c r="P489" s="82">
        <f t="shared" si="95"/>
        <v>94193.249999999898</v>
      </c>
      <c r="Q489" s="81">
        <v>439</v>
      </c>
      <c r="R489" s="80">
        <f>IFERROR(EOMONTH(DATE($F$10,$F$9,1),439-1),"")</f>
        <v>58287</v>
      </c>
      <c r="S489" s="79">
        <f t="shared" si="96"/>
        <v>0</v>
      </c>
      <c r="T489" s="79">
        <f t="shared" si="89"/>
        <v>0</v>
      </c>
      <c r="U489" s="79">
        <f t="shared" si="90"/>
        <v>0</v>
      </c>
      <c r="V489" s="79">
        <f t="shared" si="91"/>
        <v>0</v>
      </c>
      <c r="W489" s="79">
        <f t="shared" si="92"/>
        <v>0</v>
      </c>
      <c r="X489" s="79">
        <f t="shared" si="93"/>
        <v>0</v>
      </c>
      <c r="Y489" s="79">
        <f t="shared" si="97"/>
        <v>173145.40000000002</v>
      </c>
    </row>
    <row r="490" spans="8:25">
      <c r="H490" s="78">
        <v>440</v>
      </c>
      <c r="I490" s="77">
        <f>IFERROR(EOMONTH(DATE($C$10,$C$9,1),440-1),"")</f>
        <v>58318</v>
      </c>
      <c r="J490" s="76">
        <f t="shared" si="94"/>
        <v>0</v>
      </c>
      <c r="K490" s="76">
        <f t="shared" si="84"/>
        <v>0</v>
      </c>
      <c r="L490" s="76">
        <f t="shared" si="85"/>
        <v>0</v>
      </c>
      <c r="M490" s="76">
        <f t="shared" si="86"/>
        <v>0</v>
      </c>
      <c r="N490" s="76">
        <f t="shared" si="87"/>
        <v>0</v>
      </c>
      <c r="O490" s="76">
        <f t="shared" si="88"/>
        <v>0</v>
      </c>
      <c r="P490" s="76">
        <f t="shared" si="95"/>
        <v>94193.249999999898</v>
      </c>
      <c r="Q490" s="78">
        <v>440</v>
      </c>
      <c r="R490" s="77">
        <f>IFERROR(EOMONTH(DATE($F$10,$F$9,1),440-1),"")</f>
        <v>58318</v>
      </c>
      <c r="S490" s="76">
        <f t="shared" si="96"/>
        <v>0</v>
      </c>
      <c r="T490" s="76">
        <f t="shared" si="89"/>
        <v>0</v>
      </c>
      <c r="U490" s="76">
        <f t="shared" si="90"/>
        <v>0</v>
      </c>
      <c r="V490" s="76">
        <f t="shared" si="91"/>
        <v>0</v>
      </c>
      <c r="W490" s="76">
        <f t="shared" si="92"/>
        <v>0</v>
      </c>
      <c r="X490" s="76">
        <f t="shared" si="93"/>
        <v>0</v>
      </c>
      <c r="Y490" s="76">
        <f t="shared" si="97"/>
        <v>173145.40000000002</v>
      </c>
    </row>
    <row r="491" spans="8:25">
      <c r="H491" s="84">
        <v>441</v>
      </c>
      <c r="I491" s="83">
        <f>IFERROR(EOMONTH(DATE($C$10,$C$9,1),441-1),"")</f>
        <v>58348</v>
      </c>
      <c r="J491" s="82">
        <f t="shared" si="94"/>
        <v>0</v>
      </c>
      <c r="K491" s="82">
        <f t="shared" si="84"/>
        <v>0</v>
      </c>
      <c r="L491" s="82">
        <f t="shared" si="85"/>
        <v>0</v>
      </c>
      <c r="M491" s="82">
        <f t="shared" si="86"/>
        <v>0</v>
      </c>
      <c r="N491" s="82">
        <f t="shared" si="87"/>
        <v>0</v>
      </c>
      <c r="O491" s="82">
        <f t="shared" si="88"/>
        <v>0</v>
      </c>
      <c r="P491" s="82">
        <f t="shared" si="95"/>
        <v>94193.249999999898</v>
      </c>
      <c r="Q491" s="81">
        <v>441</v>
      </c>
      <c r="R491" s="80">
        <f>IFERROR(EOMONTH(DATE($F$10,$F$9,1),441-1),"")</f>
        <v>58348</v>
      </c>
      <c r="S491" s="79">
        <f t="shared" si="96"/>
        <v>0</v>
      </c>
      <c r="T491" s="79">
        <f t="shared" si="89"/>
        <v>0</v>
      </c>
      <c r="U491" s="79">
        <f t="shared" si="90"/>
        <v>0</v>
      </c>
      <c r="V491" s="79">
        <f t="shared" si="91"/>
        <v>0</v>
      </c>
      <c r="W491" s="79">
        <f t="shared" si="92"/>
        <v>0</v>
      </c>
      <c r="X491" s="79">
        <f t="shared" si="93"/>
        <v>0</v>
      </c>
      <c r="Y491" s="79">
        <f t="shared" si="97"/>
        <v>173145.40000000002</v>
      </c>
    </row>
    <row r="492" spans="8:25">
      <c r="H492" s="78">
        <v>442</v>
      </c>
      <c r="I492" s="77">
        <f>IFERROR(EOMONTH(DATE($C$10,$C$9,1),442-1),"")</f>
        <v>58379</v>
      </c>
      <c r="J492" s="76">
        <f t="shared" si="94"/>
        <v>0</v>
      </c>
      <c r="K492" s="76">
        <f t="shared" si="84"/>
        <v>0</v>
      </c>
      <c r="L492" s="76">
        <f t="shared" si="85"/>
        <v>0</v>
      </c>
      <c r="M492" s="76">
        <f t="shared" si="86"/>
        <v>0</v>
      </c>
      <c r="N492" s="76">
        <f t="shared" si="87"/>
        <v>0</v>
      </c>
      <c r="O492" s="76">
        <f t="shared" si="88"/>
        <v>0</v>
      </c>
      <c r="P492" s="76">
        <f t="shared" si="95"/>
        <v>94193.249999999898</v>
      </c>
      <c r="Q492" s="78">
        <v>442</v>
      </c>
      <c r="R492" s="77">
        <f>IFERROR(EOMONTH(DATE($F$10,$F$9,1),442-1),"")</f>
        <v>58379</v>
      </c>
      <c r="S492" s="76">
        <f t="shared" si="96"/>
        <v>0</v>
      </c>
      <c r="T492" s="76">
        <f t="shared" si="89"/>
        <v>0</v>
      </c>
      <c r="U492" s="76">
        <f t="shared" si="90"/>
        <v>0</v>
      </c>
      <c r="V492" s="76">
        <f t="shared" si="91"/>
        <v>0</v>
      </c>
      <c r="W492" s="76">
        <f t="shared" si="92"/>
        <v>0</v>
      </c>
      <c r="X492" s="76">
        <f t="shared" si="93"/>
        <v>0</v>
      </c>
      <c r="Y492" s="76">
        <f t="shared" si="97"/>
        <v>173145.40000000002</v>
      </c>
    </row>
    <row r="493" spans="8:25">
      <c r="H493" s="84">
        <v>443</v>
      </c>
      <c r="I493" s="83">
        <f>IFERROR(EOMONTH(DATE($C$10,$C$9,1),443-1),"")</f>
        <v>58409</v>
      </c>
      <c r="J493" s="82">
        <f t="shared" si="94"/>
        <v>0</v>
      </c>
      <c r="K493" s="82">
        <f t="shared" si="84"/>
        <v>0</v>
      </c>
      <c r="L493" s="82">
        <f t="shared" si="85"/>
        <v>0</v>
      </c>
      <c r="M493" s="82">
        <f t="shared" si="86"/>
        <v>0</v>
      </c>
      <c r="N493" s="82">
        <f t="shared" si="87"/>
        <v>0</v>
      </c>
      <c r="O493" s="82">
        <f t="shared" si="88"/>
        <v>0</v>
      </c>
      <c r="P493" s="82">
        <f t="shared" si="95"/>
        <v>94193.249999999898</v>
      </c>
      <c r="Q493" s="81">
        <v>443</v>
      </c>
      <c r="R493" s="80">
        <f>IFERROR(EOMONTH(DATE($F$10,$F$9,1),443-1),"")</f>
        <v>58409</v>
      </c>
      <c r="S493" s="79">
        <f t="shared" si="96"/>
        <v>0</v>
      </c>
      <c r="T493" s="79">
        <f t="shared" si="89"/>
        <v>0</v>
      </c>
      <c r="U493" s="79">
        <f t="shared" si="90"/>
        <v>0</v>
      </c>
      <c r="V493" s="79">
        <f t="shared" si="91"/>
        <v>0</v>
      </c>
      <c r="W493" s="79">
        <f t="shared" si="92"/>
        <v>0</v>
      </c>
      <c r="X493" s="79">
        <f t="shared" si="93"/>
        <v>0</v>
      </c>
      <c r="Y493" s="79">
        <f t="shared" si="97"/>
        <v>173145.40000000002</v>
      </c>
    </row>
    <row r="494" spans="8:25">
      <c r="H494" s="78">
        <v>444</v>
      </c>
      <c r="I494" s="77">
        <f>IFERROR(EOMONTH(DATE($C$10,$C$9,1),444-1),"")</f>
        <v>58440</v>
      </c>
      <c r="J494" s="76">
        <f t="shared" si="94"/>
        <v>0</v>
      </c>
      <c r="K494" s="76">
        <f t="shared" si="84"/>
        <v>0</v>
      </c>
      <c r="L494" s="76">
        <f t="shared" si="85"/>
        <v>0</v>
      </c>
      <c r="M494" s="76">
        <f t="shared" si="86"/>
        <v>0</v>
      </c>
      <c r="N494" s="76">
        <f t="shared" si="87"/>
        <v>0</v>
      </c>
      <c r="O494" s="76">
        <f t="shared" si="88"/>
        <v>0</v>
      </c>
      <c r="P494" s="76">
        <f t="shared" si="95"/>
        <v>94193.249999999898</v>
      </c>
      <c r="Q494" s="78">
        <v>444</v>
      </c>
      <c r="R494" s="77">
        <f>IFERROR(EOMONTH(DATE($F$10,$F$9,1),444-1),"")</f>
        <v>58440</v>
      </c>
      <c r="S494" s="76">
        <f t="shared" si="96"/>
        <v>0</v>
      </c>
      <c r="T494" s="76">
        <f t="shared" si="89"/>
        <v>0</v>
      </c>
      <c r="U494" s="76">
        <f t="shared" si="90"/>
        <v>0</v>
      </c>
      <c r="V494" s="76">
        <f t="shared" si="91"/>
        <v>0</v>
      </c>
      <c r="W494" s="76">
        <f t="shared" si="92"/>
        <v>0</v>
      </c>
      <c r="X494" s="76">
        <f t="shared" si="93"/>
        <v>0</v>
      </c>
      <c r="Y494" s="76">
        <f t="shared" si="97"/>
        <v>173145.40000000002</v>
      </c>
    </row>
    <row r="495" spans="8:25">
      <c r="H495" s="84">
        <v>445</v>
      </c>
      <c r="I495" s="83">
        <f>IFERROR(EOMONTH(DATE($C$10,$C$9,1),445-1),"")</f>
        <v>58471</v>
      </c>
      <c r="J495" s="82">
        <f t="shared" si="94"/>
        <v>0</v>
      </c>
      <c r="K495" s="82">
        <f t="shared" si="84"/>
        <v>0</v>
      </c>
      <c r="L495" s="82">
        <f t="shared" si="85"/>
        <v>0</v>
      </c>
      <c r="M495" s="82">
        <f t="shared" si="86"/>
        <v>0</v>
      </c>
      <c r="N495" s="82">
        <f t="shared" si="87"/>
        <v>0</v>
      </c>
      <c r="O495" s="82">
        <f t="shared" si="88"/>
        <v>0</v>
      </c>
      <c r="P495" s="82">
        <f t="shared" si="95"/>
        <v>94193.249999999898</v>
      </c>
      <c r="Q495" s="81">
        <v>445</v>
      </c>
      <c r="R495" s="80">
        <f>IFERROR(EOMONTH(DATE($F$10,$F$9,1),445-1),"")</f>
        <v>58471</v>
      </c>
      <c r="S495" s="79">
        <f t="shared" si="96"/>
        <v>0</v>
      </c>
      <c r="T495" s="79">
        <f t="shared" si="89"/>
        <v>0</v>
      </c>
      <c r="U495" s="79">
        <f t="shared" si="90"/>
        <v>0</v>
      </c>
      <c r="V495" s="79">
        <f t="shared" si="91"/>
        <v>0</v>
      </c>
      <c r="W495" s="79">
        <f t="shared" si="92"/>
        <v>0</v>
      </c>
      <c r="X495" s="79">
        <f t="shared" si="93"/>
        <v>0</v>
      </c>
      <c r="Y495" s="79">
        <f t="shared" si="97"/>
        <v>173145.40000000002</v>
      </c>
    </row>
    <row r="496" spans="8:25">
      <c r="H496" s="78">
        <v>446</v>
      </c>
      <c r="I496" s="77">
        <f>IFERROR(EOMONTH(DATE($C$10,$C$9,1),446-1),"")</f>
        <v>58500</v>
      </c>
      <c r="J496" s="76">
        <f t="shared" si="94"/>
        <v>0</v>
      </c>
      <c r="K496" s="76">
        <f t="shared" si="84"/>
        <v>0</v>
      </c>
      <c r="L496" s="76">
        <f t="shared" si="85"/>
        <v>0</v>
      </c>
      <c r="M496" s="76">
        <f t="shared" si="86"/>
        <v>0</v>
      </c>
      <c r="N496" s="76">
        <f t="shared" si="87"/>
        <v>0</v>
      </c>
      <c r="O496" s="76">
        <f t="shared" si="88"/>
        <v>0</v>
      </c>
      <c r="P496" s="76">
        <f t="shared" si="95"/>
        <v>94193.249999999898</v>
      </c>
      <c r="Q496" s="78">
        <v>446</v>
      </c>
      <c r="R496" s="77">
        <f>IFERROR(EOMONTH(DATE($F$10,$F$9,1),446-1),"")</f>
        <v>58500</v>
      </c>
      <c r="S496" s="76">
        <f t="shared" si="96"/>
        <v>0</v>
      </c>
      <c r="T496" s="76">
        <f t="shared" si="89"/>
        <v>0</v>
      </c>
      <c r="U496" s="76">
        <f t="shared" si="90"/>
        <v>0</v>
      </c>
      <c r="V496" s="76">
        <f t="shared" si="91"/>
        <v>0</v>
      </c>
      <c r="W496" s="76">
        <f t="shared" si="92"/>
        <v>0</v>
      </c>
      <c r="X496" s="76">
        <f t="shared" si="93"/>
        <v>0</v>
      </c>
      <c r="Y496" s="76">
        <f t="shared" si="97"/>
        <v>173145.40000000002</v>
      </c>
    </row>
    <row r="497" spans="8:25">
      <c r="H497" s="84">
        <v>447</v>
      </c>
      <c r="I497" s="83">
        <f>IFERROR(EOMONTH(DATE($C$10,$C$9,1),447-1),"")</f>
        <v>58531</v>
      </c>
      <c r="J497" s="82">
        <f t="shared" si="94"/>
        <v>0</v>
      </c>
      <c r="K497" s="82">
        <f t="shared" si="84"/>
        <v>0</v>
      </c>
      <c r="L497" s="82">
        <f t="shared" si="85"/>
        <v>0</v>
      </c>
      <c r="M497" s="82">
        <f t="shared" si="86"/>
        <v>0</v>
      </c>
      <c r="N497" s="82">
        <f t="shared" si="87"/>
        <v>0</v>
      </c>
      <c r="O497" s="82">
        <f t="shared" si="88"/>
        <v>0</v>
      </c>
      <c r="P497" s="82">
        <f t="shared" si="95"/>
        <v>94193.249999999898</v>
      </c>
      <c r="Q497" s="81">
        <v>447</v>
      </c>
      <c r="R497" s="80">
        <f>IFERROR(EOMONTH(DATE($F$10,$F$9,1),447-1),"")</f>
        <v>58531</v>
      </c>
      <c r="S497" s="79">
        <f t="shared" si="96"/>
        <v>0</v>
      </c>
      <c r="T497" s="79">
        <f t="shared" si="89"/>
        <v>0</v>
      </c>
      <c r="U497" s="79">
        <f t="shared" si="90"/>
        <v>0</v>
      </c>
      <c r="V497" s="79">
        <f t="shared" si="91"/>
        <v>0</v>
      </c>
      <c r="W497" s="79">
        <f t="shared" si="92"/>
        <v>0</v>
      </c>
      <c r="X497" s="79">
        <f t="shared" si="93"/>
        <v>0</v>
      </c>
      <c r="Y497" s="79">
        <f t="shared" si="97"/>
        <v>173145.40000000002</v>
      </c>
    </row>
    <row r="498" spans="8:25">
      <c r="H498" s="78">
        <v>448</v>
      </c>
      <c r="I498" s="77">
        <f>IFERROR(EOMONTH(DATE($C$10,$C$9,1),448-1),"")</f>
        <v>58561</v>
      </c>
      <c r="J498" s="76">
        <f t="shared" si="94"/>
        <v>0</v>
      </c>
      <c r="K498" s="76">
        <f t="shared" si="84"/>
        <v>0</v>
      </c>
      <c r="L498" s="76">
        <f t="shared" si="85"/>
        <v>0</v>
      </c>
      <c r="M498" s="76">
        <f t="shared" si="86"/>
        <v>0</v>
      </c>
      <c r="N498" s="76">
        <f t="shared" si="87"/>
        <v>0</v>
      </c>
      <c r="O498" s="76">
        <f t="shared" si="88"/>
        <v>0</v>
      </c>
      <c r="P498" s="76">
        <f t="shared" si="95"/>
        <v>94193.249999999898</v>
      </c>
      <c r="Q498" s="78">
        <v>448</v>
      </c>
      <c r="R498" s="77">
        <f>IFERROR(EOMONTH(DATE($F$10,$F$9,1),448-1),"")</f>
        <v>58561</v>
      </c>
      <c r="S498" s="76">
        <f t="shared" si="96"/>
        <v>0</v>
      </c>
      <c r="T498" s="76">
        <f t="shared" si="89"/>
        <v>0</v>
      </c>
      <c r="U498" s="76">
        <f t="shared" si="90"/>
        <v>0</v>
      </c>
      <c r="V498" s="76">
        <f t="shared" si="91"/>
        <v>0</v>
      </c>
      <c r="W498" s="76">
        <f t="shared" si="92"/>
        <v>0</v>
      </c>
      <c r="X498" s="76">
        <f t="shared" si="93"/>
        <v>0</v>
      </c>
      <c r="Y498" s="76">
        <f t="shared" si="97"/>
        <v>173145.40000000002</v>
      </c>
    </row>
    <row r="499" spans="8:25">
      <c r="H499" s="84">
        <v>449</v>
      </c>
      <c r="I499" s="83">
        <f>IFERROR(EOMONTH(DATE($C$10,$C$9,1),449-1),"")</f>
        <v>58592</v>
      </c>
      <c r="J499" s="82">
        <f t="shared" si="94"/>
        <v>0</v>
      </c>
      <c r="K499" s="82">
        <f t="shared" ref="K499:K562" si="98">IF(J499&lt;=0,0,ROUND(J499*$C$7/12,2))</f>
        <v>0</v>
      </c>
      <c r="L499" s="82">
        <f t="shared" ref="L499:L562" si="99">IF(J499&lt;=0,0,IF(UPPER(TRIM($C$11))="INTEREST ONLY",0,MAX(0,MIN(J499,$C$17-K499))))</f>
        <v>0</v>
      </c>
      <c r="M499" s="82">
        <f t="shared" ref="M499:M562" si="100">IF(J499&lt;=0,0,MIN(J499-L499,$C$12+IF(H499=$C$14,$C$13,0)))</f>
        <v>0</v>
      </c>
      <c r="N499" s="82">
        <f t="shared" ref="N499:N562" si="101">K499+L499+M499</f>
        <v>0</v>
      </c>
      <c r="O499" s="82">
        <f t="shared" ref="O499:O562" si="102">MAX(0,J499-L499-M499)</f>
        <v>0</v>
      </c>
      <c r="P499" s="82">
        <f t="shared" si="95"/>
        <v>94193.249999999898</v>
      </c>
      <c r="Q499" s="81">
        <v>449</v>
      </c>
      <c r="R499" s="80">
        <f>IFERROR(EOMONTH(DATE($F$10,$F$9,1),449-1),"")</f>
        <v>58592</v>
      </c>
      <c r="S499" s="79">
        <f t="shared" si="96"/>
        <v>0</v>
      </c>
      <c r="T499" s="79">
        <f t="shared" ref="T499:T562" si="103">IF(S499&lt;=0,0,ROUND(S499*$F$7/12,2))</f>
        <v>0</v>
      </c>
      <c r="U499" s="79">
        <f t="shared" ref="U499:U562" si="104">IF(S499&lt;=0,0,IF(UPPER(TRIM($F$11))="INTEREST ONLY",0,MAX(0,MIN(S499,$F$17-T499))))</f>
        <v>0</v>
      </c>
      <c r="V499" s="79">
        <f t="shared" ref="V499:V562" si="105">IF(S499&lt;=0,0,MIN(S499-U499,$F$12+IF(Q499=$F$14,$F$13,0)))</f>
        <v>0</v>
      </c>
      <c r="W499" s="79">
        <f t="shared" ref="W499:W562" si="106">T499+U499+V499</f>
        <v>0</v>
      </c>
      <c r="X499" s="79">
        <f t="shared" ref="X499:X562" si="107">MAX(0,S499-U499-V499)</f>
        <v>0</v>
      </c>
      <c r="Y499" s="79">
        <f t="shared" si="97"/>
        <v>173145.40000000002</v>
      </c>
    </row>
    <row r="500" spans="8:25">
      <c r="H500" s="78">
        <v>450</v>
      </c>
      <c r="I500" s="77">
        <f>IFERROR(EOMONTH(DATE($C$10,$C$9,1),450-1),"")</f>
        <v>58622</v>
      </c>
      <c r="J500" s="76">
        <f t="shared" ref="J500:J563" si="108">IF(O499&lt;=0,0,O499)</f>
        <v>0</v>
      </c>
      <c r="K500" s="76">
        <f t="shared" si="98"/>
        <v>0</v>
      </c>
      <c r="L500" s="76">
        <f t="shared" si="99"/>
        <v>0</v>
      </c>
      <c r="M500" s="76">
        <f t="shared" si="100"/>
        <v>0</v>
      </c>
      <c r="N500" s="76">
        <f t="shared" si="101"/>
        <v>0</v>
      </c>
      <c r="O500" s="76">
        <f t="shared" si="102"/>
        <v>0</v>
      </c>
      <c r="P500" s="76">
        <f t="shared" ref="P500:P563" si="109">P499+K500</f>
        <v>94193.249999999898</v>
      </c>
      <c r="Q500" s="78">
        <v>450</v>
      </c>
      <c r="R500" s="77">
        <f>IFERROR(EOMONTH(DATE($F$10,$F$9,1),450-1),"")</f>
        <v>58622</v>
      </c>
      <c r="S500" s="76">
        <f t="shared" ref="S500:S563" si="110">IF(X499&lt;=0,0,X499)</f>
        <v>0</v>
      </c>
      <c r="T500" s="76">
        <f t="shared" si="103"/>
        <v>0</v>
      </c>
      <c r="U500" s="76">
        <f t="shared" si="104"/>
        <v>0</v>
      </c>
      <c r="V500" s="76">
        <f t="shared" si="105"/>
        <v>0</v>
      </c>
      <c r="W500" s="76">
        <f t="shared" si="106"/>
        <v>0</v>
      </c>
      <c r="X500" s="76">
        <f t="shared" si="107"/>
        <v>0</v>
      </c>
      <c r="Y500" s="76">
        <f t="shared" ref="Y500:Y563" si="111">Y499+T500</f>
        <v>173145.40000000002</v>
      </c>
    </row>
    <row r="501" spans="8:25">
      <c r="H501" s="84">
        <v>451</v>
      </c>
      <c r="I501" s="83">
        <f>IFERROR(EOMONTH(DATE($C$10,$C$9,1),451-1),"")</f>
        <v>58653</v>
      </c>
      <c r="J501" s="82">
        <f t="shared" si="108"/>
        <v>0</v>
      </c>
      <c r="K501" s="82">
        <f t="shared" si="98"/>
        <v>0</v>
      </c>
      <c r="L501" s="82">
        <f t="shared" si="99"/>
        <v>0</v>
      </c>
      <c r="M501" s="82">
        <f t="shared" si="100"/>
        <v>0</v>
      </c>
      <c r="N501" s="82">
        <f t="shared" si="101"/>
        <v>0</v>
      </c>
      <c r="O501" s="82">
        <f t="shared" si="102"/>
        <v>0</v>
      </c>
      <c r="P501" s="82">
        <f t="shared" si="109"/>
        <v>94193.249999999898</v>
      </c>
      <c r="Q501" s="81">
        <v>451</v>
      </c>
      <c r="R501" s="80">
        <f>IFERROR(EOMONTH(DATE($F$10,$F$9,1),451-1),"")</f>
        <v>58653</v>
      </c>
      <c r="S501" s="79">
        <f t="shared" si="110"/>
        <v>0</v>
      </c>
      <c r="T501" s="79">
        <f t="shared" si="103"/>
        <v>0</v>
      </c>
      <c r="U501" s="79">
        <f t="shared" si="104"/>
        <v>0</v>
      </c>
      <c r="V501" s="79">
        <f t="shared" si="105"/>
        <v>0</v>
      </c>
      <c r="W501" s="79">
        <f t="shared" si="106"/>
        <v>0</v>
      </c>
      <c r="X501" s="79">
        <f t="shared" si="107"/>
        <v>0</v>
      </c>
      <c r="Y501" s="79">
        <f t="shared" si="111"/>
        <v>173145.40000000002</v>
      </c>
    </row>
    <row r="502" spans="8:25">
      <c r="H502" s="78">
        <v>452</v>
      </c>
      <c r="I502" s="77">
        <f>IFERROR(EOMONTH(DATE($C$10,$C$9,1),452-1),"")</f>
        <v>58684</v>
      </c>
      <c r="J502" s="76">
        <f t="shared" si="108"/>
        <v>0</v>
      </c>
      <c r="K502" s="76">
        <f t="shared" si="98"/>
        <v>0</v>
      </c>
      <c r="L502" s="76">
        <f t="shared" si="99"/>
        <v>0</v>
      </c>
      <c r="M502" s="76">
        <f t="shared" si="100"/>
        <v>0</v>
      </c>
      <c r="N502" s="76">
        <f t="shared" si="101"/>
        <v>0</v>
      </c>
      <c r="O502" s="76">
        <f t="shared" si="102"/>
        <v>0</v>
      </c>
      <c r="P502" s="76">
        <f t="shared" si="109"/>
        <v>94193.249999999898</v>
      </c>
      <c r="Q502" s="78">
        <v>452</v>
      </c>
      <c r="R502" s="77">
        <f>IFERROR(EOMONTH(DATE($F$10,$F$9,1),452-1),"")</f>
        <v>58684</v>
      </c>
      <c r="S502" s="76">
        <f t="shared" si="110"/>
        <v>0</v>
      </c>
      <c r="T502" s="76">
        <f t="shared" si="103"/>
        <v>0</v>
      </c>
      <c r="U502" s="76">
        <f t="shared" si="104"/>
        <v>0</v>
      </c>
      <c r="V502" s="76">
        <f t="shared" si="105"/>
        <v>0</v>
      </c>
      <c r="W502" s="76">
        <f t="shared" si="106"/>
        <v>0</v>
      </c>
      <c r="X502" s="76">
        <f t="shared" si="107"/>
        <v>0</v>
      </c>
      <c r="Y502" s="76">
        <f t="shared" si="111"/>
        <v>173145.40000000002</v>
      </c>
    </row>
    <row r="503" spans="8:25">
      <c r="H503" s="84">
        <v>453</v>
      </c>
      <c r="I503" s="83">
        <f>IFERROR(EOMONTH(DATE($C$10,$C$9,1),453-1),"")</f>
        <v>58714</v>
      </c>
      <c r="J503" s="82">
        <f t="shared" si="108"/>
        <v>0</v>
      </c>
      <c r="K503" s="82">
        <f t="shared" si="98"/>
        <v>0</v>
      </c>
      <c r="L503" s="82">
        <f t="shared" si="99"/>
        <v>0</v>
      </c>
      <c r="M503" s="82">
        <f t="shared" si="100"/>
        <v>0</v>
      </c>
      <c r="N503" s="82">
        <f t="shared" si="101"/>
        <v>0</v>
      </c>
      <c r="O503" s="82">
        <f t="shared" si="102"/>
        <v>0</v>
      </c>
      <c r="P503" s="82">
        <f t="shared" si="109"/>
        <v>94193.249999999898</v>
      </c>
      <c r="Q503" s="81">
        <v>453</v>
      </c>
      <c r="R503" s="80">
        <f>IFERROR(EOMONTH(DATE($F$10,$F$9,1),453-1),"")</f>
        <v>58714</v>
      </c>
      <c r="S503" s="79">
        <f t="shared" si="110"/>
        <v>0</v>
      </c>
      <c r="T503" s="79">
        <f t="shared" si="103"/>
        <v>0</v>
      </c>
      <c r="U503" s="79">
        <f t="shared" si="104"/>
        <v>0</v>
      </c>
      <c r="V503" s="79">
        <f t="shared" si="105"/>
        <v>0</v>
      </c>
      <c r="W503" s="79">
        <f t="shared" si="106"/>
        <v>0</v>
      </c>
      <c r="X503" s="79">
        <f t="shared" si="107"/>
        <v>0</v>
      </c>
      <c r="Y503" s="79">
        <f t="shared" si="111"/>
        <v>173145.40000000002</v>
      </c>
    </row>
    <row r="504" spans="8:25">
      <c r="H504" s="78">
        <v>454</v>
      </c>
      <c r="I504" s="77">
        <f>IFERROR(EOMONTH(DATE($C$10,$C$9,1),454-1),"")</f>
        <v>58745</v>
      </c>
      <c r="J504" s="76">
        <f t="shared" si="108"/>
        <v>0</v>
      </c>
      <c r="K504" s="76">
        <f t="shared" si="98"/>
        <v>0</v>
      </c>
      <c r="L504" s="76">
        <f t="shared" si="99"/>
        <v>0</v>
      </c>
      <c r="M504" s="76">
        <f t="shared" si="100"/>
        <v>0</v>
      </c>
      <c r="N504" s="76">
        <f t="shared" si="101"/>
        <v>0</v>
      </c>
      <c r="O504" s="76">
        <f t="shared" si="102"/>
        <v>0</v>
      </c>
      <c r="P504" s="76">
        <f t="shared" si="109"/>
        <v>94193.249999999898</v>
      </c>
      <c r="Q504" s="78">
        <v>454</v>
      </c>
      <c r="R504" s="77">
        <f>IFERROR(EOMONTH(DATE($F$10,$F$9,1),454-1),"")</f>
        <v>58745</v>
      </c>
      <c r="S504" s="76">
        <f t="shared" si="110"/>
        <v>0</v>
      </c>
      <c r="T504" s="76">
        <f t="shared" si="103"/>
        <v>0</v>
      </c>
      <c r="U504" s="76">
        <f t="shared" si="104"/>
        <v>0</v>
      </c>
      <c r="V504" s="76">
        <f t="shared" si="105"/>
        <v>0</v>
      </c>
      <c r="W504" s="76">
        <f t="shared" si="106"/>
        <v>0</v>
      </c>
      <c r="X504" s="76">
        <f t="shared" si="107"/>
        <v>0</v>
      </c>
      <c r="Y504" s="76">
        <f t="shared" si="111"/>
        <v>173145.40000000002</v>
      </c>
    </row>
    <row r="505" spans="8:25">
      <c r="H505" s="84">
        <v>455</v>
      </c>
      <c r="I505" s="83">
        <f>IFERROR(EOMONTH(DATE($C$10,$C$9,1),455-1),"")</f>
        <v>58775</v>
      </c>
      <c r="J505" s="82">
        <f t="shared" si="108"/>
        <v>0</v>
      </c>
      <c r="K505" s="82">
        <f t="shared" si="98"/>
        <v>0</v>
      </c>
      <c r="L505" s="82">
        <f t="shared" si="99"/>
        <v>0</v>
      </c>
      <c r="M505" s="82">
        <f t="shared" si="100"/>
        <v>0</v>
      </c>
      <c r="N505" s="82">
        <f t="shared" si="101"/>
        <v>0</v>
      </c>
      <c r="O505" s="82">
        <f t="shared" si="102"/>
        <v>0</v>
      </c>
      <c r="P505" s="82">
        <f t="shared" si="109"/>
        <v>94193.249999999898</v>
      </c>
      <c r="Q505" s="81">
        <v>455</v>
      </c>
      <c r="R505" s="80">
        <f>IFERROR(EOMONTH(DATE($F$10,$F$9,1),455-1),"")</f>
        <v>58775</v>
      </c>
      <c r="S505" s="79">
        <f t="shared" si="110"/>
        <v>0</v>
      </c>
      <c r="T505" s="79">
        <f t="shared" si="103"/>
        <v>0</v>
      </c>
      <c r="U505" s="79">
        <f t="shared" si="104"/>
        <v>0</v>
      </c>
      <c r="V505" s="79">
        <f t="shared" si="105"/>
        <v>0</v>
      </c>
      <c r="W505" s="79">
        <f t="shared" si="106"/>
        <v>0</v>
      </c>
      <c r="X505" s="79">
        <f t="shared" si="107"/>
        <v>0</v>
      </c>
      <c r="Y505" s="79">
        <f t="shared" si="111"/>
        <v>173145.40000000002</v>
      </c>
    </row>
    <row r="506" spans="8:25">
      <c r="H506" s="78">
        <v>456</v>
      </c>
      <c r="I506" s="77">
        <f>IFERROR(EOMONTH(DATE($C$10,$C$9,1),456-1),"")</f>
        <v>58806</v>
      </c>
      <c r="J506" s="76">
        <f t="shared" si="108"/>
        <v>0</v>
      </c>
      <c r="K506" s="76">
        <f t="shared" si="98"/>
        <v>0</v>
      </c>
      <c r="L506" s="76">
        <f t="shared" si="99"/>
        <v>0</v>
      </c>
      <c r="M506" s="76">
        <f t="shared" si="100"/>
        <v>0</v>
      </c>
      <c r="N506" s="76">
        <f t="shared" si="101"/>
        <v>0</v>
      </c>
      <c r="O506" s="76">
        <f t="shared" si="102"/>
        <v>0</v>
      </c>
      <c r="P506" s="76">
        <f t="shared" si="109"/>
        <v>94193.249999999898</v>
      </c>
      <c r="Q506" s="78">
        <v>456</v>
      </c>
      <c r="R506" s="77">
        <f>IFERROR(EOMONTH(DATE($F$10,$F$9,1),456-1),"")</f>
        <v>58806</v>
      </c>
      <c r="S506" s="76">
        <f t="shared" si="110"/>
        <v>0</v>
      </c>
      <c r="T506" s="76">
        <f t="shared" si="103"/>
        <v>0</v>
      </c>
      <c r="U506" s="76">
        <f t="shared" si="104"/>
        <v>0</v>
      </c>
      <c r="V506" s="76">
        <f t="shared" si="105"/>
        <v>0</v>
      </c>
      <c r="W506" s="76">
        <f t="shared" si="106"/>
        <v>0</v>
      </c>
      <c r="X506" s="76">
        <f t="shared" si="107"/>
        <v>0</v>
      </c>
      <c r="Y506" s="76">
        <f t="shared" si="111"/>
        <v>173145.40000000002</v>
      </c>
    </row>
    <row r="507" spans="8:25">
      <c r="H507" s="84">
        <v>457</v>
      </c>
      <c r="I507" s="83">
        <f>IFERROR(EOMONTH(DATE($C$10,$C$9,1),457-1),"")</f>
        <v>58837</v>
      </c>
      <c r="J507" s="82">
        <f t="shared" si="108"/>
        <v>0</v>
      </c>
      <c r="K507" s="82">
        <f t="shared" si="98"/>
        <v>0</v>
      </c>
      <c r="L507" s="82">
        <f t="shared" si="99"/>
        <v>0</v>
      </c>
      <c r="M507" s="82">
        <f t="shared" si="100"/>
        <v>0</v>
      </c>
      <c r="N507" s="82">
        <f t="shared" si="101"/>
        <v>0</v>
      </c>
      <c r="O507" s="82">
        <f t="shared" si="102"/>
        <v>0</v>
      </c>
      <c r="P507" s="82">
        <f t="shared" si="109"/>
        <v>94193.249999999898</v>
      </c>
      <c r="Q507" s="81">
        <v>457</v>
      </c>
      <c r="R507" s="80">
        <f>IFERROR(EOMONTH(DATE($F$10,$F$9,1),457-1),"")</f>
        <v>58837</v>
      </c>
      <c r="S507" s="79">
        <f t="shared" si="110"/>
        <v>0</v>
      </c>
      <c r="T507" s="79">
        <f t="shared" si="103"/>
        <v>0</v>
      </c>
      <c r="U507" s="79">
        <f t="shared" si="104"/>
        <v>0</v>
      </c>
      <c r="V507" s="79">
        <f t="shared" si="105"/>
        <v>0</v>
      </c>
      <c r="W507" s="79">
        <f t="shared" si="106"/>
        <v>0</v>
      </c>
      <c r="X507" s="79">
        <f t="shared" si="107"/>
        <v>0</v>
      </c>
      <c r="Y507" s="79">
        <f t="shared" si="111"/>
        <v>173145.40000000002</v>
      </c>
    </row>
    <row r="508" spans="8:25">
      <c r="H508" s="78">
        <v>458</v>
      </c>
      <c r="I508" s="77">
        <f>IFERROR(EOMONTH(DATE($C$10,$C$9,1),458-1),"")</f>
        <v>58865</v>
      </c>
      <c r="J508" s="76">
        <f t="shared" si="108"/>
        <v>0</v>
      </c>
      <c r="K508" s="76">
        <f t="shared" si="98"/>
        <v>0</v>
      </c>
      <c r="L508" s="76">
        <f t="shared" si="99"/>
        <v>0</v>
      </c>
      <c r="M508" s="76">
        <f t="shared" si="100"/>
        <v>0</v>
      </c>
      <c r="N508" s="76">
        <f t="shared" si="101"/>
        <v>0</v>
      </c>
      <c r="O508" s="76">
        <f t="shared" si="102"/>
        <v>0</v>
      </c>
      <c r="P508" s="76">
        <f t="shared" si="109"/>
        <v>94193.249999999898</v>
      </c>
      <c r="Q508" s="78">
        <v>458</v>
      </c>
      <c r="R508" s="77">
        <f>IFERROR(EOMONTH(DATE($F$10,$F$9,1),458-1),"")</f>
        <v>58865</v>
      </c>
      <c r="S508" s="76">
        <f t="shared" si="110"/>
        <v>0</v>
      </c>
      <c r="T508" s="76">
        <f t="shared" si="103"/>
        <v>0</v>
      </c>
      <c r="U508" s="76">
        <f t="shared" si="104"/>
        <v>0</v>
      </c>
      <c r="V508" s="76">
        <f t="shared" si="105"/>
        <v>0</v>
      </c>
      <c r="W508" s="76">
        <f t="shared" si="106"/>
        <v>0</v>
      </c>
      <c r="X508" s="76">
        <f t="shared" si="107"/>
        <v>0</v>
      </c>
      <c r="Y508" s="76">
        <f t="shared" si="111"/>
        <v>173145.40000000002</v>
      </c>
    </row>
    <row r="509" spans="8:25">
      <c r="H509" s="84">
        <v>459</v>
      </c>
      <c r="I509" s="83">
        <f>IFERROR(EOMONTH(DATE($C$10,$C$9,1),459-1),"")</f>
        <v>58896</v>
      </c>
      <c r="J509" s="82">
        <f t="shared" si="108"/>
        <v>0</v>
      </c>
      <c r="K509" s="82">
        <f t="shared" si="98"/>
        <v>0</v>
      </c>
      <c r="L509" s="82">
        <f t="shared" si="99"/>
        <v>0</v>
      </c>
      <c r="M509" s="82">
        <f t="shared" si="100"/>
        <v>0</v>
      </c>
      <c r="N509" s="82">
        <f t="shared" si="101"/>
        <v>0</v>
      </c>
      <c r="O509" s="82">
        <f t="shared" si="102"/>
        <v>0</v>
      </c>
      <c r="P509" s="82">
        <f t="shared" si="109"/>
        <v>94193.249999999898</v>
      </c>
      <c r="Q509" s="81">
        <v>459</v>
      </c>
      <c r="R509" s="80">
        <f>IFERROR(EOMONTH(DATE($F$10,$F$9,1),459-1),"")</f>
        <v>58896</v>
      </c>
      <c r="S509" s="79">
        <f t="shared" si="110"/>
        <v>0</v>
      </c>
      <c r="T509" s="79">
        <f t="shared" si="103"/>
        <v>0</v>
      </c>
      <c r="U509" s="79">
        <f t="shared" si="104"/>
        <v>0</v>
      </c>
      <c r="V509" s="79">
        <f t="shared" si="105"/>
        <v>0</v>
      </c>
      <c r="W509" s="79">
        <f t="shared" si="106"/>
        <v>0</v>
      </c>
      <c r="X509" s="79">
        <f t="shared" si="107"/>
        <v>0</v>
      </c>
      <c r="Y509" s="79">
        <f t="shared" si="111"/>
        <v>173145.40000000002</v>
      </c>
    </row>
    <row r="510" spans="8:25">
      <c r="H510" s="78">
        <v>460</v>
      </c>
      <c r="I510" s="77">
        <f>IFERROR(EOMONTH(DATE($C$10,$C$9,1),460-1),"")</f>
        <v>58926</v>
      </c>
      <c r="J510" s="76">
        <f t="shared" si="108"/>
        <v>0</v>
      </c>
      <c r="K510" s="76">
        <f t="shared" si="98"/>
        <v>0</v>
      </c>
      <c r="L510" s="76">
        <f t="shared" si="99"/>
        <v>0</v>
      </c>
      <c r="M510" s="76">
        <f t="shared" si="100"/>
        <v>0</v>
      </c>
      <c r="N510" s="76">
        <f t="shared" si="101"/>
        <v>0</v>
      </c>
      <c r="O510" s="76">
        <f t="shared" si="102"/>
        <v>0</v>
      </c>
      <c r="P510" s="76">
        <f t="shared" si="109"/>
        <v>94193.249999999898</v>
      </c>
      <c r="Q510" s="78">
        <v>460</v>
      </c>
      <c r="R510" s="77">
        <f>IFERROR(EOMONTH(DATE($F$10,$F$9,1),460-1),"")</f>
        <v>58926</v>
      </c>
      <c r="S510" s="76">
        <f t="shared" si="110"/>
        <v>0</v>
      </c>
      <c r="T510" s="76">
        <f t="shared" si="103"/>
        <v>0</v>
      </c>
      <c r="U510" s="76">
        <f t="shared" si="104"/>
        <v>0</v>
      </c>
      <c r="V510" s="76">
        <f t="shared" si="105"/>
        <v>0</v>
      </c>
      <c r="W510" s="76">
        <f t="shared" si="106"/>
        <v>0</v>
      </c>
      <c r="X510" s="76">
        <f t="shared" si="107"/>
        <v>0</v>
      </c>
      <c r="Y510" s="76">
        <f t="shared" si="111"/>
        <v>173145.40000000002</v>
      </c>
    </row>
    <row r="511" spans="8:25">
      <c r="H511" s="84">
        <v>461</v>
      </c>
      <c r="I511" s="83">
        <f>IFERROR(EOMONTH(DATE($C$10,$C$9,1),461-1),"")</f>
        <v>58957</v>
      </c>
      <c r="J511" s="82">
        <f t="shared" si="108"/>
        <v>0</v>
      </c>
      <c r="K511" s="82">
        <f t="shared" si="98"/>
        <v>0</v>
      </c>
      <c r="L511" s="82">
        <f t="shared" si="99"/>
        <v>0</v>
      </c>
      <c r="M511" s="82">
        <f t="shared" si="100"/>
        <v>0</v>
      </c>
      <c r="N511" s="82">
        <f t="shared" si="101"/>
        <v>0</v>
      </c>
      <c r="O511" s="82">
        <f t="shared" si="102"/>
        <v>0</v>
      </c>
      <c r="P511" s="82">
        <f t="shared" si="109"/>
        <v>94193.249999999898</v>
      </c>
      <c r="Q511" s="81">
        <v>461</v>
      </c>
      <c r="R511" s="80">
        <f>IFERROR(EOMONTH(DATE($F$10,$F$9,1),461-1),"")</f>
        <v>58957</v>
      </c>
      <c r="S511" s="79">
        <f t="shared" si="110"/>
        <v>0</v>
      </c>
      <c r="T511" s="79">
        <f t="shared" si="103"/>
        <v>0</v>
      </c>
      <c r="U511" s="79">
        <f t="shared" si="104"/>
        <v>0</v>
      </c>
      <c r="V511" s="79">
        <f t="shared" si="105"/>
        <v>0</v>
      </c>
      <c r="W511" s="79">
        <f t="shared" si="106"/>
        <v>0</v>
      </c>
      <c r="X511" s="79">
        <f t="shared" si="107"/>
        <v>0</v>
      </c>
      <c r="Y511" s="79">
        <f t="shared" si="111"/>
        <v>173145.40000000002</v>
      </c>
    </row>
    <row r="512" spans="8:25">
      <c r="H512" s="78">
        <v>462</v>
      </c>
      <c r="I512" s="77">
        <f>IFERROR(EOMONTH(DATE($C$10,$C$9,1),462-1),"")</f>
        <v>58987</v>
      </c>
      <c r="J512" s="76">
        <f t="shared" si="108"/>
        <v>0</v>
      </c>
      <c r="K512" s="76">
        <f t="shared" si="98"/>
        <v>0</v>
      </c>
      <c r="L512" s="76">
        <f t="shared" si="99"/>
        <v>0</v>
      </c>
      <c r="M512" s="76">
        <f t="shared" si="100"/>
        <v>0</v>
      </c>
      <c r="N512" s="76">
        <f t="shared" si="101"/>
        <v>0</v>
      </c>
      <c r="O512" s="76">
        <f t="shared" si="102"/>
        <v>0</v>
      </c>
      <c r="P512" s="76">
        <f t="shared" si="109"/>
        <v>94193.249999999898</v>
      </c>
      <c r="Q512" s="78">
        <v>462</v>
      </c>
      <c r="R512" s="77">
        <f>IFERROR(EOMONTH(DATE($F$10,$F$9,1),462-1),"")</f>
        <v>58987</v>
      </c>
      <c r="S512" s="76">
        <f t="shared" si="110"/>
        <v>0</v>
      </c>
      <c r="T512" s="76">
        <f t="shared" si="103"/>
        <v>0</v>
      </c>
      <c r="U512" s="76">
        <f t="shared" si="104"/>
        <v>0</v>
      </c>
      <c r="V512" s="76">
        <f t="shared" si="105"/>
        <v>0</v>
      </c>
      <c r="W512" s="76">
        <f t="shared" si="106"/>
        <v>0</v>
      </c>
      <c r="X512" s="76">
        <f t="shared" si="107"/>
        <v>0</v>
      </c>
      <c r="Y512" s="76">
        <f t="shared" si="111"/>
        <v>173145.40000000002</v>
      </c>
    </row>
    <row r="513" spans="8:25">
      <c r="H513" s="84">
        <v>463</v>
      </c>
      <c r="I513" s="83">
        <f>IFERROR(EOMONTH(DATE($C$10,$C$9,1),463-1),"")</f>
        <v>59018</v>
      </c>
      <c r="J513" s="82">
        <f t="shared" si="108"/>
        <v>0</v>
      </c>
      <c r="K513" s="82">
        <f t="shared" si="98"/>
        <v>0</v>
      </c>
      <c r="L513" s="82">
        <f t="shared" si="99"/>
        <v>0</v>
      </c>
      <c r="M513" s="82">
        <f t="shared" si="100"/>
        <v>0</v>
      </c>
      <c r="N513" s="82">
        <f t="shared" si="101"/>
        <v>0</v>
      </c>
      <c r="O513" s="82">
        <f t="shared" si="102"/>
        <v>0</v>
      </c>
      <c r="P513" s="82">
        <f t="shared" si="109"/>
        <v>94193.249999999898</v>
      </c>
      <c r="Q513" s="81">
        <v>463</v>
      </c>
      <c r="R513" s="80">
        <f>IFERROR(EOMONTH(DATE($F$10,$F$9,1),463-1),"")</f>
        <v>59018</v>
      </c>
      <c r="S513" s="79">
        <f t="shared" si="110"/>
        <v>0</v>
      </c>
      <c r="T513" s="79">
        <f t="shared" si="103"/>
        <v>0</v>
      </c>
      <c r="U513" s="79">
        <f t="shared" si="104"/>
        <v>0</v>
      </c>
      <c r="V513" s="79">
        <f t="shared" si="105"/>
        <v>0</v>
      </c>
      <c r="W513" s="79">
        <f t="shared" si="106"/>
        <v>0</v>
      </c>
      <c r="X513" s="79">
        <f t="shared" si="107"/>
        <v>0</v>
      </c>
      <c r="Y513" s="79">
        <f t="shared" si="111"/>
        <v>173145.40000000002</v>
      </c>
    </row>
    <row r="514" spans="8:25">
      <c r="H514" s="78">
        <v>464</v>
      </c>
      <c r="I514" s="77">
        <f>IFERROR(EOMONTH(DATE($C$10,$C$9,1),464-1),"")</f>
        <v>59049</v>
      </c>
      <c r="J514" s="76">
        <f t="shared" si="108"/>
        <v>0</v>
      </c>
      <c r="K514" s="76">
        <f t="shared" si="98"/>
        <v>0</v>
      </c>
      <c r="L514" s="76">
        <f t="shared" si="99"/>
        <v>0</v>
      </c>
      <c r="M514" s="76">
        <f t="shared" si="100"/>
        <v>0</v>
      </c>
      <c r="N514" s="76">
        <f t="shared" si="101"/>
        <v>0</v>
      </c>
      <c r="O514" s="76">
        <f t="shared" si="102"/>
        <v>0</v>
      </c>
      <c r="P514" s="76">
        <f t="shared" si="109"/>
        <v>94193.249999999898</v>
      </c>
      <c r="Q514" s="78">
        <v>464</v>
      </c>
      <c r="R514" s="77">
        <f>IFERROR(EOMONTH(DATE($F$10,$F$9,1),464-1),"")</f>
        <v>59049</v>
      </c>
      <c r="S514" s="76">
        <f t="shared" si="110"/>
        <v>0</v>
      </c>
      <c r="T514" s="76">
        <f t="shared" si="103"/>
        <v>0</v>
      </c>
      <c r="U514" s="76">
        <f t="shared" si="104"/>
        <v>0</v>
      </c>
      <c r="V514" s="76">
        <f t="shared" si="105"/>
        <v>0</v>
      </c>
      <c r="W514" s="76">
        <f t="shared" si="106"/>
        <v>0</v>
      </c>
      <c r="X514" s="76">
        <f t="shared" si="107"/>
        <v>0</v>
      </c>
      <c r="Y514" s="76">
        <f t="shared" si="111"/>
        <v>173145.40000000002</v>
      </c>
    </row>
    <row r="515" spans="8:25">
      <c r="H515" s="84">
        <v>465</v>
      </c>
      <c r="I515" s="83">
        <f>IFERROR(EOMONTH(DATE($C$10,$C$9,1),465-1),"")</f>
        <v>59079</v>
      </c>
      <c r="J515" s="82">
        <f t="shared" si="108"/>
        <v>0</v>
      </c>
      <c r="K515" s="82">
        <f t="shared" si="98"/>
        <v>0</v>
      </c>
      <c r="L515" s="82">
        <f t="shared" si="99"/>
        <v>0</v>
      </c>
      <c r="M515" s="82">
        <f t="shared" si="100"/>
        <v>0</v>
      </c>
      <c r="N515" s="82">
        <f t="shared" si="101"/>
        <v>0</v>
      </c>
      <c r="O515" s="82">
        <f t="shared" si="102"/>
        <v>0</v>
      </c>
      <c r="P515" s="82">
        <f t="shared" si="109"/>
        <v>94193.249999999898</v>
      </c>
      <c r="Q515" s="81">
        <v>465</v>
      </c>
      <c r="R515" s="80">
        <f>IFERROR(EOMONTH(DATE($F$10,$F$9,1),465-1),"")</f>
        <v>59079</v>
      </c>
      <c r="S515" s="79">
        <f t="shared" si="110"/>
        <v>0</v>
      </c>
      <c r="T515" s="79">
        <f t="shared" si="103"/>
        <v>0</v>
      </c>
      <c r="U515" s="79">
        <f t="shared" si="104"/>
        <v>0</v>
      </c>
      <c r="V515" s="79">
        <f t="shared" si="105"/>
        <v>0</v>
      </c>
      <c r="W515" s="79">
        <f t="shared" si="106"/>
        <v>0</v>
      </c>
      <c r="X515" s="79">
        <f t="shared" si="107"/>
        <v>0</v>
      </c>
      <c r="Y515" s="79">
        <f t="shared" si="111"/>
        <v>173145.40000000002</v>
      </c>
    </row>
    <row r="516" spans="8:25">
      <c r="H516" s="78">
        <v>466</v>
      </c>
      <c r="I516" s="77">
        <f>IFERROR(EOMONTH(DATE($C$10,$C$9,1),466-1),"")</f>
        <v>59110</v>
      </c>
      <c r="J516" s="76">
        <f t="shared" si="108"/>
        <v>0</v>
      </c>
      <c r="K516" s="76">
        <f t="shared" si="98"/>
        <v>0</v>
      </c>
      <c r="L516" s="76">
        <f t="shared" si="99"/>
        <v>0</v>
      </c>
      <c r="M516" s="76">
        <f t="shared" si="100"/>
        <v>0</v>
      </c>
      <c r="N516" s="76">
        <f t="shared" si="101"/>
        <v>0</v>
      </c>
      <c r="O516" s="76">
        <f t="shared" si="102"/>
        <v>0</v>
      </c>
      <c r="P516" s="76">
        <f t="shared" si="109"/>
        <v>94193.249999999898</v>
      </c>
      <c r="Q516" s="78">
        <v>466</v>
      </c>
      <c r="R516" s="77">
        <f>IFERROR(EOMONTH(DATE($F$10,$F$9,1),466-1),"")</f>
        <v>59110</v>
      </c>
      <c r="S516" s="76">
        <f t="shared" si="110"/>
        <v>0</v>
      </c>
      <c r="T516" s="76">
        <f t="shared" si="103"/>
        <v>0</v>
      </c>
      <c r="U516" s="76">
        <f t="shared" si="104"/>
        <v>0</v>
      </c>
      <c r="V516" s="76">
        <f t="shared" si="105"/>
        <v>0</v>
      </c>
      <c r="W516" s="76">
        <f t="shared" si="106"/>
        <v>0</v>
      </c>
      <c r="X516" s="76">
        <f t="shared" si="107"/>
        <v>0</v>
      </c>
      <c r="Y516" s="76">
        <f t="shared" si="111"/>
        <v>173145.40000000002</v>
      </c>
    </row>
    <row r="517" spans="8:25">
      <c r="H517" s="84">
        <v>467</v>
      </c>
      <c r="I517" s="83">
        <f>IFERROR(EOMONTH(DATE($C$10,$C$9,1),467-1),"")</f>
        <v>59140</v>
      </c>
      <c r="J517" s="82">
        <f t="shared" si="108"/>
        <v>0</v>
      </c>
      <c r="K517" s="82">
        <f t="shared" si="98"/>
        <v>0</v>
      </c>
      <c r="L517" s="82">
        <f t="shared" si="99"/>
        <v>0</v>
      </c>
      <c r="M517" s="82">
        <f t="shared" si="100"/>
        <v>0</v>
      </c>
      <c r="N517" s="82">
        <f t="shared" si="101"/>
        <v>0</v>
      </c>
      <c r="O517" s="82">
        <f t="shared" si="102"/>
        <v>0</v>
      </c>
      <c r="P517" s="82">
        <f t="shared" si="109"/>
        <v>94193.249999999898</v>
      </c>
      <c r="Q517" s="81">
        <v>467</v>
      </c>
      <c r="R517" s="80">
        <f>IFERROR(EOMONTH(DATE($F$10,$F$9,1),467-1),"")</f>
        <v>59140</v>
      </c>
      <c r="S517" s="79">
        <f t="shared" si="110"/>
        <v>0</v>
      </c>
      <c r="T517" s="79">
        <f t="shared" si="103"/>
        <v>0</v>
      </c>
      <c r="U517" s="79">
        <f t="shared" si="104"/>
        <v>0</v>
      </c>
      <c r="V517" s="79">
        <f t="shared" si="105"/>
        <v>0</v>
      </c>
      <c r="W517" s="79">
        <f t="shared" si="106"/>
        <v>0</v>
      </c>
      <c r="X517" s="79">
        <f t="shared" si="107"/>
        <v>0</v>
      </c>
      <c r="Y517" s="79">
        <f t="shared" si="111"/>
        <v>173145.40000000002</v>
      </c>
    </row>
    <row r="518" spans="8:25">
      <c r="H518" s="78">
        <v>468</v>
      </c>
      <c r="I518" s="77">
        <f>IFERROR(EOMONTH(DATE($C$10,$C$9,1),468-1),"")</f>
        <v>59171</v>
      </c>
      <c r="J518" s="76">
        <f t="shared" si="108"/>
        <v>0</v>
      </c>
      <c r="K518" s="76">
        <f t="shared" si="98"/>
        <v>0</v>
      </c>
      <c r="L518" s="76">
        <f t="shared" si="99"/>
        <v>0</v>
      </c>
      <c r="M518" s="76">
        <f t="shared" si="100"/>
        <v>0</v>
      </c>
      <c r="N518" s="76">
        <f t="shared" si="101"/>
        <v>0</v>
      </c>
      <c r="O518" s="76">
        <f t="shared" si="102"/>
        <v>0</v>
      </c>
      <c r="P518" s="76">
        <f t="shared" si="109"/>
        <v>94193.249999999898</v>
      </c>
      <c r="Q518" s="78">
        <v>468</v>
      </c>
      <c r="R518" s="77">
        <f>IFERROR(EOMONTH(DATE($F$10,$F$9,1),468-1),"")</f>
        <v>59171</v>
      </c>
      <c r="S518" s="76">
        <f t="shared" si="110"/>
        <v>0</v>
      </c>
      <c r="T518" s="76">
        <f t="shared" si="103"/>
        <v>0</v>
      </c>
      <c r="U518" s="76">
        <f t="shared" si="104"/>
        <v>0</v>
      </c>
      <c r="V518" s="76">
        <f t="shared" si="105"/>
        <v>0</v>
      </c>
      <c r="W518" s="76">
        <f t="shared" si="106"/>
        <v>0</v>
      </c>
      <c r="X518" s="76">
        <f t="shared" si="107"/>
        <v>0</v>
      </c>
      <c r="Y518" s="76">
        <f t="shared" si="111"/>
        <v>173145.40000000002</v>
      </c>
    </row>
    <row r="519" spans="8:25">
      <c r="H519" s="84">
        <v>469</v>
      </c>
      <c r="I519" s="83">
        <f>IFERROR(EOMONTH(DATE($C$10,$C$9,1),469-1),"")</f>
        <v>59202</v>
      </c>
      <c r="J519" s="82">
        <f t="shared" si="108"/>
        <v>0</v>
      </c>
      <c r="K519" s="82">
        <f t="shared" si="98"/>
        <v>0</v>
      </c>
      <c r="L519" s="82">
        <f t="shared" si="99"/>
        <v>0</v>
      </c>
      <c r="M519" s="82">
        <f t="shared" si="100"/>
        <v>0</v>
      </c>
      <c r="N519" s="82">
        <f t="shared" si="101"/>
        <v>0</v>
      </c>
      <c r="O519" s="82">
        <f t="shared" si="102"/>
        <v>0</v>
      </c>
      <c r="P519" s="82">
        <f t="shared" si="109"/>
        <v>94193.249999999898</v>
      </c>
      <c r="Q519" s="81">
        <v>469</v>
      </c>
      <c r="R519" s="80">
        <f>IFERROR(EOMONTH(DATE($F$10,$F$9,1),469-1),"")</f>
        <v>59202</v>
      </c>
      <c r="S519" s="79">
        <f t="shared" si="110"/>
        <v>0</v>
      </c>
      <c r="T519" s="79">
        <f t="shared" si="103"/>
        <v>0</v>
      </c>
      <c r="U519" s="79">
        <f t="shared" si="104"/>
        <v>0</v>
      </c>
      <c r="V519" s="79">
        <f t="shared" si="105"/>
        <v>0</v>
      </c>
      <c r="W519" s="79">
        <f t="shared" si="106"/>
        <v>0</v>
      </c>
      <c r="X519" s="79">
        <f t="shared" si="107"/>
        <v>0</v>
      </c>
      <c r="Y519" s="79">
        <f t="shared" si="111"/>
        <v>173145.40000000002</v>
      </c>
    </row>
    <row r="520" spans="8:25">
      <c r="H520" s="78">
        <v>470</v>
      </c>
      <c r="I520" s="77">
        <f>IFERROR(EOMONTH(DATE($C$10,$C$9,1),470-1),"")</f>
        <v>59230</v>
      </c>
      <c r="J520" s="76">
        <f t="shared" si="108"/>
        <v>0</v>
      </c>
      <c r="K520" s="76">
        <f t="shared" si="98"/>
        <v>0</v>
      </c>
      <c r="L520" s="76">
        <f t="shared" si="99"/>
        <v>0</v>
      </c>
      <c r="M520" s="76">
        <f t="shared" si="100"/>
        <v>0</v>
      </c>
      <c r="N520" s="76">
        <f t="shared" si="101"/>
        <v>0</v>
      </c>
      <c r="O520" s="76">
        <f t="shared" si="102"/>
        <v>0</v>
      </c>
      <c r="P520" s="76">
        <f t="shared" si="109"/>
        <v>94193.249999999898</v>
      </c>
      <c r="Q520" s="78">
        <v>470</v>
      </c>
      <c r="R520" s="77">
        <f>IFERROR(EOMONTH(DATE($F$10,$F$9,1),470-1),"")</f>
        <v>59230</v>
      </c>
      <c r="S520" s="76">
        <f t="shared" si="110"/>
        <v>0</v>
      </c>
      <c r="T520" s="76">
        <f t="shared" si="103"/>
        <v>0</v>
      </c>
      <c r="U520" s="76">
        <f t="shared" si="104"/>
        <v>0</v>
      </c>
      <c r="V520" s="76">
        <f t="shared" si="105"/>
        <v>0</v>
      </c>
      <c r="W520" s="76">
        <f t="shared" si="106"/>
        <v>0</v>
      </c>
      <c r="X520" s="76">
        <f t="shared" si="107"/>
        <v>0</v>
      </c>
      <c r="Y520" s="76">
        <f t="shared" si="111"/>
        <v>173145.40000000002</v>
      </c>
    </row>
    <row r="521" spans="8:25">
      <c r="H521" s="84">
        <v>471</v>
      </c>
      <c r="I521" s="83">
        <f>IFERROR(EOMONTH(DATE($C$10,$C$9,1),471-1),"")</f>
        <v>59261</v>
      </c>
      <c r="J521" s="82">
        <f t="shared" si="108"/>
        <v>0</v>
      </c>
      <c r="K521" s="82">
        <f t="shared" si="98"/>
        <v>0</v>
      </c>
      <c r="L521" s="82">
        <f t="shared" si="99"/>
        <v>0</v>
      </c>
      <c r="M521" s="82">
        <f t="shared" si="100"/>
        <v>0</v>
      </c>
      <c r="N521" s="82">
        <f t="shared" si="101"/>
        <v>0</v>
      </c>
      <c r="O521" s="82">
        <f t="shared" si="102"/>
        <v>0</v>
      </c>
      <c r="P521" s="82">
        <f t="shared" si="109"/>
        <v>94193.249999999898</v>
      </c>
      <c r="Q521" s="81">
        <v>471</v>
      </c>
      <c r="R521" s="80">
        <f>IFERROR(EOMONTH(DATE($F$10,$F$9,1),471-1),"")</f>
        <v>59261</v>
      </c>
      <c r="S521" s="79">
        <f t="shared" si="110"/>
        <v>0</v>
      </c>
      <c r="T521" s="79">
        <f t="shared" si="103"/>
        <v>0</v>
      </c>
      <c r="U521" s="79">
        <f t="shared" si="104"/>
        <v>0</v>
      </c>
      <c r="V521" s="79">
        <f t="shared" si="105"/>
        <v>0</v>
      </c>
      <c r="W521" s="79">
        <f t="shared" si="106"/>
        <v>0</v>
      </c>
      <c r="X521" s="79">
        <f t="shared" si="107"/>
        <v>0</v>
      </c>
      <c r="Y521" s="79">
        <f t="shared" si="111"/>
        <v>173145.40000000002</v>
      </c>
    </row>
    <row r="522" spans="8:25">
      <c r="H522" s="78">
        <v>472</v>
      </c>
      <c r="I522" s="77">
        <f>IFERROR(EOMONTH(DATE($C$10,$C$9,1),472-1),"")</f>
        <v>59291</v>
      </c>
      <c r="J522" s="76">
        <f t="shared" si="108"/>
        <v>0</v>
      </c>
      <c r="K522" s="76">
        <f t="shared" si="98"/>
        <v>0</v>
      </c>
      <c r="L522" s="76">
        <f t="shared" si="99"/>
        <v>0</v>
      </c>
      <c r="M522" s="76">
        <f t="shared" si="100"/>
        <v>0</v>
      </c>
      <c r="N522" s="76">
        <f t="shared" si="101"/>
        <v>0</v>
      </c>
      <c r="O522" s="76">
        <f t="shared" si="102"/>
        <v>0</v>
      </c>
      <c r="P522" s="76">
        <f t="shared" si="109"/>
        <v>94193.249999999898</v>
      </c>
      <c r="Q522" s="78">
        <v>472</v>
      </c>
      <c r="R522" s="77">
        <f>IFERROR(EOMONTH(DATE($F$10,$F$9,1),472-1),"")</f>
        <v>59291</v>
      </c>
      <c r="S522" s="76">
        <f t="shared" si="110"/>
        <v>0</v>
      </c>
      <c r="T522" s="76">
        <f t="shared" si="103"/>
        <v>0</v>
      </c>
      <c r="U522" s="76">
        <f t="shared" si="104"/>
        <v>0</v>
      </c>
      <c r="V522" s="76">
        <f t="shared" si="105"/>
        <v>0</v>
      </c>
      <c r="W522" s="76">
        <f t="shared" si="106"/>
        <v>0</v>
      </c>
      <c r="X522" s="76">
        <f t="shared" si="107"/>
        <v>0</v>
      </c>
      <c r="Y522" s="76">
        <f t="shared" si="111"/>
        <v>173145.40000000002</v>
      </c>
    </row>
    <row r="523" spans="8:25">
      <c r="H523" s="84">
        <v>473</v>
      </c>
      <c r="I523" s="83">
        <f>IFERROR(EOMONTH(DATE($C$10,$C$9,1),473-1),"")</f>
        <v>59322</v>
      </c>
      <c r="J523" s="82">
        <f t="shared" si="108"/>
        <v>0</v>
      </c>
      <c r="K523" s="82">
        <f t="shared" si="98"/>
        <v>0</v>
      </c>
      <c r="L523" s="82">
        <f t="shared" si="99"/>
        <v>0</v>
      </c>
      <c r="M523" s="82">
        <f t="shared" si="100"/>
        <v>0</v>
      </c>
      <c r="N523" s="82">
        <f t="shared" si="101"/>
        <v>0</v>
      </c>
      <c r="O523" s="82">
        <f t="shared" si="102"/>
        <v>0</v>
      </c>
      <c r="P523" s="82">
        <f t="shared" si="109"/>
        <v>94193.249999999898</v>
      </c>
      <c r="Q523" s="81">
        <v>473</v>
      </c>
      <c r="R523" s="80">
        <f>IFERROR(EOMONTH(DATE($F$10,$F$9,1),473-1),"")</f>
        <v>59322</v>
      </c>
      <c r="S523" s="79">
        <f t="shared" si="110"/>
        <v>0</v>
      </c>
      <c r="T523" s="79">
        <f t="shared" si="103"/>
        <v>0</v>
      </c>
      <c r="U523" s="79">
        <f t="shared" si="104"/>
        <v>0</v>
      </c>
      <c r="V523" s="79">
        <f t="shared" si="105"/>
        <v>0</v>
      </c>
      <c r="W523" s="79">
        <f t="shared" si="106"/>
        <v>0</v>
      </c>
      <c r="X523" s="79">
        <f t="shared" si="107"/>
        <v>0</v>
      </c>
      <c r="Y523" s="79">
        <f t="shared" si="111"/>
        <v>173145.40000000002</v>
      </c>
    </row>
    <row r="524" spans="8:25">
      <c r="H524" s="78">
        <v>474</v>
      </c>
      <c r="I524" s="77">
        <f>IFERROR(EOMONTH(DATE($C$10,$C$9,1),474-1),"")</f>
        <v>59352</v>
      </c>
      <c r="J524" s="76">
        <f t="shared" si="108"/>
        <v>0</v>
      </c>
      <c r="K524" s="76">
        <f t="shared" si="98"/>
        <v>0</v>
      </c>
      <c r="L524" s="76">
        <f t="shared" si="99"/>
        <v>0</v>
      </c>
      <c r="M524" s="76">
        <f t="shared" si="100"/>
        <v>0</v>
      </c>
      <c r="N524" s="76">
        <f t="shared" si="101"/>
        <v>0</v>
      </c>
      <c r="O524" s="76">
        <f t="shared" si="102"/>
        <v>0</v>
      </c>
      <c r="P524" s="76">
        <f t="shared" si="109"/>
        <v>94193.249999999898</v>
      </c>
      <c r="Q524" s="78">
        <v>474</v>
      </c>
      <c r="R524" s="77">
        <f>IFERROR(EOMONTH(DATE($F$10,$F$9,1),474-1),"")</f>
        <v>59352</v>
      </c>
      <c r="S524" s="76">
        <f t="shared" si="110"/>
        <v>0</v>
      </c>
      <c r="T524" s="76">
        <f t="shared" si="103"/>
        <v>0</v>
      </c>
      <c r="U524" s="76">
        <f t="shared" si="104"/>
        <v>0</v>
      </c>
      <c r="V524" s="76">
        <f t="shared" si="105"/>
        <v>0</v>
      </c>
      <c r="W524" s="76">
        <f t="shared" si="106"/>
        <v>0</v>
      </c>
      <c r="X524" s="76">
        <f t="shared" si="107"/>
        <v>0</v>
      </c>
      <c r="Y524" s="76">
        <f t="shared" si="111"/>
        <v>173145.40000000002</v>
      </c>
    </row>
    <row r="525" spans="8:25">
      <c r="H525" s="84">
        <v>475</v>
      </c>
      <c r="I525" s="83">
        <f>IFERROR(EOMONTH(DATE($C$10,$C$9,1),475-1),"")</f>
        <v>59383</v>
      </c>
      <c r="J525" s="82">
        <f t="shared" si="108"/>
        <v>0</v>
      </c>
      <c r="K525" s="82">
        <f t="shared" si="98"/>
        <v>0</v>
      </c>
      <c r="L525" s="82">
        <f t="shared" si="99"/>
        <v>0</v>
      </c>
      <c r="M525" s="82">
        <f t="shared" si="100"/>
        <v>0</v>
      </c>
      <c r="N525" s="82">
        <f t="shared" si="101"/>
        <v>0</v>
      </c>
      <c r="O525" s="82">
        <f t="shared" si="102"/>
        <v>0</v>
      </c>
      <c r="P525" s="82">
        <f t="shared" si="109"/>
        <v>94193.249999999898</v>
      </c>
      <c r="Q525" s="81">
        <v>475</v>
      </c>
      <c r="R525" s="80">
        <f>IFERROR(EOMONTH(DATE($F$10,$F$9,1),475-1),"")</f>
        <v>59383</v>
      </c>
      <c r="S525" s="79">
        <f t="shared" si="110"/>
        <v>0</v>
      </c>
      <c r="T525" s="79">
        <f t="shared" si="103"/>
        <v>0</v>
      </c>
      <c r="U525" s="79">
        <f t="shared" si="104"/>
        <v>0</v>
      </c>
      <c r="V525" s="79">
        <f t="shared" si="105"/>
        <v>0</v>
      </c>
      <c r="W525" s="79">
        <f t="shared" si="106"/>
        <v>0</v>
      </c>
      <c r="X525" s="79">
        <f t="shared" si="107"/>
        <v>0</v>
      </c>
      <c r="Y525" s="79">
        <f t="shared" si="111"/>
        <v>173145.40000000002</v>
      </c>
    </row>
    <row r="526" spans="8:25">
      <c r="H526" s="78">
        <v>476</v>
      </c>
      <c r="I526" s="77">
        <f>IFERROR(EOMONTH(DATE($C$10,$C$9,1),476-1),"")</f>
        <v>59414</v>
      </c>
      <c r="J526" s="76">
        <f t="shared" si="108"/>
        <v>0</v>
      </c>
      <c r="K526" s="76">
        <f t="shared" si="98"/>
        <v>0</v>
      </c>
      <c r="L526" s="76">
        <f t="shared" si="99"/>
        <v>0</v>
      </c>
      <c r="M526" s="76">
        <f t="shared" si="100"/>
        <v>0</v>
      </c>
      <c r="N526" s="76">
        <f t="shared" si="101"/>
        <v>0</v>
      </c>
      <c r="O526" s="76">
        <f t="shared" si="102"/>
        <v>0</v>
      </c>
      <c r="P526" s="76">
        <f t="shared" si="109"/>
        <v>94193.249999999898</v>
      </c>
      <c r="Q526" s="78">
        <v>476</v>
      </c>
      <c r="R526" s="77">
        <f>IFERROR(EOMONTH(DATE($F$10,$F$9,1),476-1),"")</f>
        <v>59414</v>
      </c>
      <c r="S526" s="76">
        <f t="shared" si="110"/>
        <v>0</v>
      </c>
      <c r="T526" s="76">
        <f t="shared" si="103"/>
        <v>0</v>
      </c>
      <c r="U526" s="76">
        <f t="shared" si="104"/>
        <v>0</v>
      </c>
      <c r="V526" s="76">
        <f t="shared" si="105"/>
        <v>0</v>
      </c>
      <c r="W526" s="76">
        <f t="shared" si="106"/>
        <v>0</v>
      </c>
      <c r="X526" s="76">
        <f t="shared" si="107"/>
        <v>0</v>
      </c>
      <c r="Y526" s="76">
        <f t="shared" si="111"/>
        <v>173145.40000000002</v>
      </c>
    </row>
    <row r="527" spans="8:25">
      <c r="H527" s="84">
        <v>477</v>
      </c>
      <c r="I527" s="83">
        <f>IFERROR(EOMONTH(DATE($C$10,$C$9,1),477-1),"")</f>
        <v>59444</v>
      </c>
      <c r="J527" s="82">
        <f t="shared" si="108"/>
        <v>0</v>
      </c>
      <c r="K527" s="82">
        <f t="shared" si="98"/>
        <v>0</v>
      </c>
      <c r="L527" s="82">
        <f t="shared" si="99"/>
        <v>0</v>
      </c>
      <c r="M527" s="82">
        <f t="shared" si="100"/>
        <v>0</v>
      </c>
      <c r="N527" s="82">
        <f t="shared" si="101"/>
        <v>0</v>
      </c>
      <c r="O527" s="82">
        <f t="shared" si="102"/>
        <v>0</v>
      </c>
      <c r="P527" s="82">
        <f t="shared" si="109"/>
        <v>94193.249999999898</v>
      </c>
      <c r="Q527" s="81">
        <v>477</v>
      </c>
      <c r="R527" s="80">
        <f>IFERROR(EOMONTH(DATE($F$10,$F$9,1),477-1),"")</f>
        <v>59444</v>
      </c>
      <c r="S527" s="79">
        <f t="shared" si="110"/>
        <v>0</v>
      </c>
      <c r="T527" s="79">
        <f t="shared" si="103"/>
        <v>0</v>
      </c>
      <c r="U527" s="79">
        <f t="shared" si="104"/>
        <v>0</v>
      </c>
      <c r="V527" s="79">
        <f t="shared" si="105"/>
        <v>0</v>
      </c>
      <c r="W527" s="79">
        <f t="shared" si="106"/>
        <v>0</v>
      </c>
      <c r="X527" s="79">
        <f t="shared" si="107"/>
        <v>0</v>
      </c>
      <c r="Y527" s="79">
        <f t="shared" si="111"/>
        <v>173145.40000000002</v>
      </c>
    </row>
    <row r="528" spans="8:25">
      <c r="H528" s="78">
        <v>478</v>
      </c>
      <c r="I528" s="77">
        <f>IFERROR(EOMONTH(DATE($C$10,$C$9,1),478-1),"")</f>
        <v>59475</v>
      </c>
      <c r="J528" s="76">
        <f t="shared" si="108"/>
        <v>0</v>
      </c>
      <c r="K528" s="76">
        <f t="shared" si="98"/>
        <v>0</v>
      </c>
      <c r="L528" s="76">
        <f t="shared" si="99"/>
        <v>0</v>
      </c>
      <c r="M528" s="76">
        <f t="shared" si="100"/>
        <v>0</v>
      </c>
      <c r="N528" s="76">
        <f t="shared" si="101"/>
        <v>0</v>
      </c>
      <c r="O528" s="76">
        <f t="shared" si="102"/>
        <v>0</v>
      </c>
      <c r="P528" s="76">
        <f t="shared" si="109"/>
        <v>94193.249999999898</v>
      </c>
      <c r="Q528" s="78">
        <v>478</v>
      </c>
      <c r="R528" s="77">
        <f>IFERROR(EOMONTH(DATE($F$10,$F$9,1),478-1),"")</f>
        <v>59475</v>
      </c>
      <c r="S528" s="76">
        <f t="shared" si="110"/>
        <v>0</v>
      </c>
      <c r="T528" s="76">
        <f t="shared" si="103"/>
        <v>0</v>
      </c>
      <c r="U528" s="76">
        <f t="shared" si="104"/>
        <v>0</v>
      </c>
      <c r="V528" s="76">
        <f t="shared" si="105"/>
        <v>0</v>
      </c>
      <c r="W528" s="76">
        <f t="shared" si="106"/>
        <v>0</v>
      </c>
      <c r="X528" s="76">
        <f t="shared" si="107"/>
        <v>0</v>
      </c>
      <c r="Y528" s="76">
        <f t="shared" si="111"/>
        <v>173145.40000000002</v>
      </c>
    </row>
    <row r="529" spans="8:25">
      <c r="H529" s="84">
        <v>479</v>
      </c>
      <c r="I529" s="83">
        <f>IFERROR(EOMONTH(DATE($C$10,$C$9,1),479-1),"")</f>
        <v>59505</v>
      </c>
      <c r="J529" s="82">
        <f t="shared" si="108"/>
        <v>0</v>
      </c>
      <c r="K529" s="82">
        <f t="shared" si="98"/>
        <v>0</v>
      </c>
      <c r="L529" s="82">
        <f t="shared" si="99"/>
        <v>0</v>
      </c>
      <c r="M529" s="82">
        <f t="shared" si="100"/>
        <v>0</v>
      </c>
      <c r="N529" s="82">
        <f t="shared" si="101"/>
        <v>0</v>
      </c>
      <c r="O529" s="82">
        <f t="shared" si="102"/>
        <v>0</v>
      </c>
      <c r="P529" s="82">
        <f t="shared" si="109"/>
        <v>94193.249999999898</v>
      </c>
      <c r="Q529" s="81">
        <v>479</v>
      </c>
      <c r="R529" s="80">
        <f>IFERROR(EOMONTH(DATE($F$10,$F$9,1),479-1),"")</f>
        <v>59505</v>
      </c>
      <c r="S529" s="79">
        <f t="shared" si="110"/>
        <v>0</v>
      </c>
      <c r="T529" s="79">
        <f t="shared" si="103"/>
        <v>0</v>
      </c>
      <c r="U529" s="79">
        <f t="shared" si="104"/>
        <v>0</v>
      </c>
      <c r="V529" s="79">
        <f t="shared" si="105"/>
        <v>0</v>
      </c>
      <c r="W529" s="79">
        <f t="shared" si="106"/>
        <v>0</v>
      </c>
      <c r="X529" s="79">
        <f t="shared" si="107"/>
        <v>0</v>
      </c>
      <c r="Y529" s="79">
        <f t="shared" si="111"/>
        <v>173145.40000000002</v>
      </c>
    </row>
    <row r="530" spans="8:25">
      <c r="H530" s="78">
        <v>480</v>
      </c>
      <c r="I530" s="77">
        <f>IFERROR(EOMONTH(DATE($C$10,$C$9,1),480-1),"")</f>
        <v>59536</v>
      </c>
      <c r="J530" s="76">
        <f t="shared" si="108"/>
        <v>0</v>
      </c>
      <c r="K530" s="76">
        <f t="shared" si="98"/>
        <v>0</v>
      </c>
      <c r="L530" s="76">
        <f t="shared" si="99"/>
        <v>0</v>
      </c>
      <c r="M530" s="76">
        <f t="shared" si="100"/>
        <v>0</v>
      </c>
      <c r="N530" s="76">
        <f t="shared" si="101"/>
        <v>0</v>
      </c>
      <c r="O530" s="76">
        <f t="shared" si="102"/>
        <v>0</v>
      </c>
      <c r="P530" s="76">
        <f t="shared" si="109"/>
        <v>94193.249999999898</v>
      </c>
      <c r="Q530" s="78">
        <v>480</v>
      </c>
      <c r="R530" s="77">
        <f>IFERROR(EOMONTH(DATE($F$10,$F$9,1),480-1),"")</f>
        <v>59536</v>
      </c>
      <c r="S530" s="76">
        <f t="shared" si="110"/>
        <v>0</v>
      </c>
      <c r="T530" s="76">
        <f t="shared" si="103"/>
        <v>0</v>
      </c>
      <c r="U530" s="76">
        <f t="shared" si="104"/>
        <v>0</v>
      </c>
      <c r="V530" s="76">
        <f t="shared" si="105"/>
        <v>0</v>
      </c>
      <c r="W530" s="76">
        <f t="shared" si="106"/>
        <v>0</v>
      </c>
      <c r="X530" s="76">
        <f t="shared" si="107"/>
        <v>0</v>
      </c>
      <c r="Y530" s="76">
        <f t="shared" si="111"/>
        <v>173145.40000000002</v>
      </c>
    </row>
    <row r="531" spans="8:25">
      <c r="H531" s="84">
        <v>481</v>
      </c>
      <c r="I531" s="83">
        <f>IFERROR(EOMONTH(DATE($C$10,$C$9,1),481-1),"")</f>
        <v>59567</v>
      </c>
      <c r="J531" s="82">
        <f t="shared" si="108"/>
        <v>0</v>
      </c>
      <c r="K531" s="82">
        <f t="shared" si="98"/>
        <v>0</v>
      </c>
      <c r="L531" s="82">
        <f t="shared" si="99"/>
        <v>0</v>
      </c>
      <c r="M531" s="82">
        <f t="shared" si="100"/>
        <v>0</v>
      </c>
      <c r="N531" s="82">
        <f t="shared" si="101"/>
        <v>0</v>
      </c>
      <c r="O531" s="82">
        <f t="shared" si="102"/>
        <v>0</v>
      </c>
      <c r="P531" s="82">
        <f t="shared" si="109"/>
        <v>94193.249999999898</v>
      </c>
      <c r="Q531" s="81">
        <v>481</v>
      </c>
      <c r="R531" s="80">
        <f>IFERROR(EOMONTH(DATE($F$10,$F$9,1),481-1),"")</f>
        <v>59567</v>
      </c>
      <c r="S531" s="79">
        <f t="shared" si="110"/>
        <v>0</v>
      </c>
      <c r="T531" s="79">
        <f t="shared" si="103"/>
        <v>0</v>
      </c>
      <c r="U531" s="79">
        <f t="shared" si="104"/>
        <v>0</v>
      </c>
      <c r="V531" s="79">
        <f t="shared" si="105"/>
        <v>0</v>
      </c>
      <c r="W531" s="79">
        <f t="shared" si="106"/>
        <v>0</v>
      </c>
      <c r="X531" s="79">
        <f t="shared" si="107"/>
        <v>0</v>
      </c>
      <c r="Y531" s="79">
        <f t="shared" si="111"/>
        <v>173145.40000000002</v>
      </c>
    </row>
    <row r="532" spans="8:25">
      <c r="H532" s="78">
        <v>482</v>
      </c>
      <c r="I532" s="77">
        <f>IFERROR(EOMONTH(DATE($C$10,$C$9,1),482-1),"")</f>
        <v>59595</v>
      </c>
      <c r="J532" s="76">
        <f t="shared" si="108"/>
        <v>0</v>
      </c>
      <c r="K532" s="76">
        <f t="shared" si="98"/>
        <v>0</v>
      </c>
      <c r="L532" s="76">
        <f t="shared" si="99"/>
        <v>0</v>
      </c>
      <c r="M532" s="76">
        <f t="shared" si="100"/>
        <v>0</v>
      </c>
      <c r="N532" s="76">
        <f t="shared" si="101"/>
        <v>0</v>
      </c>
      <c r="O532" s="76">
        <f t="shared" si="102"/>
        <v>0</v>
      </c>
      <c r="P532" s="76">
        <f t="shared" si="109"/>
        <v>94193.249999999898</v>
      </c>
      <c r="Q532" s="78">
        <v>482</v>
      </c>
      <c r="R532" s="77">
        <f>IFERROR(EOMONTH(DATE($F$10,$F$9,1),482-1),"")</f>
        <v>59595</v>
      </c>
      <c r="S532" s="76">
        <f t="shared" si="110"/>
        <v>0</v>
      </c>
      <c r="T532" s="76">
        <f t="shared" si="103"/>
        <v>0</v>
      </c>
      <c r="U532" s="76">
        <f t="shared" si="104"/>
        <v>0</v>
      </c>
      <c r="V532" s="76">
        <f t="shared" si="105"/>
        <v>0</v>
      </c>
      <c r="W532" s="76">
        <f t="shared" si="106"/>
        <v>0</v>
      </c>
      <c r="X532" s="76">
        <f t="shared" si="107"/>
        <v>0</v>
      </c>
      <c r="Y532" s="76">
        <f t="shared" si="111"/>
        <v>173145.40000000002</v>
      </c>
    </row>
    <row r="533" spans="8:25">
      <c r="H533" s="84">
        <v>483</v>
      </c>
      <c r="I533" s="83">
        <f>IFERROR(EOMONTH(DATE($C$10,$C$9,1),483-1),"")</f>
        <v>59626</v>
      </c>
      <c r="J533" s="82">
        <f t="shared" si="108"/>
        <v>0</v>
      </c>
      <c r="K533" s="82">
        <f t="shared" si="98"/>
        <v>0</v>
      </c>
      <c r="L533" s="82">
        <f t="shared" si="99"/>
        <v>0</v>
      </c>
      <c r="M533" s="82">
        <f t="shared" si="100"/>
        <v>0</v>
      </c>
      <c r="N533" s="82">
        <f t="shared" si="101"/>
        <v>0</v>
      </c>
      <c r="O533" s="82">
        <f t="shared" si="102"/>
        <v>0</v>
      </c>
      <c r="P533" s="82">
        <f t="shared" si="109"/>
        <v>94193.249999999898</v>
      </c>
      <c r="Q533" s="81">
        <v>483</v>
      </c>
      <c r="R533" s="80">
        <f>IFERROR(EOMONTH(DATE($F$10,$F$9,1),483-1),"")</f>
        <v>59626</v>
      </c>
      <c r="S533" s="79">
        <f t="shared" si="110"/>
        <v>0</v>
      </c>
      <c r="T533" s="79">
        <f t="shared" si="103"/>
        <v>0</v>
      </c>
      <c r="U533" s="79">
        <f t="shared" si="104"/>
        <v>0</v>
      </c>
      <c r="V533" s="79">
        <f t="shared" si="105"/>
        <v>0</v>
      </c>
      <c r="W533" s="79">
        <f t="shared" si="106"/>
        <v>0</v>
      </c>
      <c r="X533" s="79">
        <f t="shared" si="107"/>
        <v>0</v>
      </c>
      <c r="Y533" s="79">
        <f t="shared" si="111"/>
        <v>173145.40000000002</v>
      </c>
    </row>
    <row r="534" spans="8:25">
      <c r="H534" s="78">
        <v>484</v>
      </c>
      <c r="I534" s="77">
        <f>IFERROR(EOMONTH(DATE($C$10,$C$9,1),484-1),"")</f>
        <v>59656</v>
      </c>
      <c r="J534" s="76">
        <f t="shared" si="108"/>
        <v>0</v>
      </c>
      <c r="K534" s="76">
        <f t="shared" si="98"/>
        <v>0</v>
      </c>
      <c r="L534" s="76">
        <f t="shared" si="99"/>
        <v>0</v>
      </c>
      <c r="M534" s="76">
        <f t="shared" si="100"/>
        <v>0</v>
      </c>
      <c r="N534" s="76">
        <f t="shared" si="101"/>
        <v>0</v>
      </c>
      <c r="O534" s="76">
        <f t="shared" si="102"/>
        <v>0</v>
      </c>
      <c r="P534" s="76">
        <f t="shared" si="109"/>
        <v>94193.249999999898</v>
      </c>
      <c r="Q534" s="78">
        <v>484</v>
      </c>
      <c r="R534" s="77">
        <f>IFERROR(EOMONTH(DATE($F$10,$F$9,1),484-1),"")</f>
        <v>59656</v>
      </c>
      <c r="S534" s="76">
        <f t="shared" si="110"/>
        <v>0</v>
      </c>
      <c r="T534" s="76">
        <f t="shared" si="103"/>
        <v>0</v>
      </c>
      <c r="U534" s="76">
        <f t="shared" si="104"/>
        <v>0</v>
      </c>
      <c r="V534" s="76">
        <f t="shared" si="105"/>
        <v>0</v>
      </c>
      <c r="W534" s="76">
        <f t="shared" si="106"/>
        <v>0</v>
      </c>
      <c r="X534" s="76">
        <f t="shared" si="107"/>
        <v>0</v>
      </c>
      <c r="Y534" s="76">
        <f t="shared" si="111"/>
        <v>173145.40000000002</v>
      </c>
    </row>
    <row r="535" spans="8:25">
      <c r="H535" s="84">
        <v>485</v>
      </c>
      <c r="I535" s="83">
        <f>IFERROR(EOMONTH(DATE($C$10,$C$9,1),485-1),"")</f>
        <v>59687</v>
      </c>
      <c r="J535" s="82">
        <f t="shared" si="108"/>
        <v>0</v>
      </c>
      <c r="K535" s="82">
        <f t="shared" si="98"/>
        <v>0</v>
      </c>
      <c r="L535" s="82">
        <f t="shared" si="99"/>
        <v>0</v>
      </c>
      <c r="M535" s="82">
        <f t="shared" si="100"/>
        <v>0</v>
      </c>
      <c r="N535" s="82">
        <f t="shared" si="101"/>
        <v>0</v>
      </c>
      <c r="O535" s="82">
        <f t="shared" si="102"/>
        <v>0</v>
      </c>
      <c r="P535" s="82">
        <f t="shared" si="109"/>
        <v>94193.249999999898</v>
      </c>
      <c r="Q535" s="81">
        <v>485</v>
      </c>
      <c r="R535" s="80">
        <f>IFERROR(EOMONTH(DATE($F$10,$F$9,1),485-1),"")</f>
        <v>59687</v>
      </c>
      <c r="S535" s="79">
        <f t="shared" si="110"/>
        <v>0</v>
      </c>
      <c r="T535" s="79">
        <f t="shared" si="103"/>
        <v>0</v>
      </c>
      <c r="U535" s="79">
        <f t="shared" si="104"/>
        <v>0</v>
      </c>
      <c r="V535" s="79">
        <f t="shared" si="105"/>
        <v>0</v>
      </c>
      <c r="W535" s="79">
        <f t="shared" si="106"/>
        <v>0</v>
      </c>
      <c r="X535" s="79">
        <f t="shared" si="107"/>
        <v>0</v>
      </c>
      <c r="Y535" s="79">
        <f t="shared" si="111"/>
        <v>173145.40000000002</v>
      </c>
    </row>
    <row r="536" spans="8:25">
      <c r="H536" s="78">
        <v>486</v>
      </c>
      <c r="I536" s="77">
        <f>IFERROR(EOMONTH(DATE($C$10,$C$9,1),486-1),"")</f>
        <v>59717</v>
      </c>
      <c r="J536" s="76">
        <f t="shared" si="108"/>
        <v>0</v>
      </c>
      <c r="K536" s="76">
        <f t="shared" si="98"/>
        <v>0</v>
      </c>
      <c r="L536" s="76">
        <f t="shared" si="99"/>
        <v>0</v>
      </c>
      <c r="M536" s="76">
        <f t="shared" si="100"/>
        <v>0</v>
      </c>
      <c r="N536" s="76">
        <f t="shared" si="101"/>
        <v>0</v>
      </c>
      <c r="O536" s="76">
        <f t="shared" si="102"/>
        <v>0</v>
      </c>
      <c r="P536" s="76">
        <f t="shared" si="109"/>
        <v>94193.249999999898</v>
      </c>
      <c r="Q536" s="78">
        <v>486</v>
      </c>
      <c r="R536" s="77">
        <f>IFERROR(EOMONTH(DATE($F$10,$F$9,1),486-1),"")</f>
        <v>59717</v>
      </c>
      <c r="S536" s="76">
        <f t="shared" si="110"/>
        <v>0</v>
      </c>
      <c r="T536" s="76">
        <f t="shared" si="103"/>
        <v>0</v>
      </c>
      <c r="U536" s="76">
        <f t="shared" si="104"/>
        <v>0</v>
      </c>
      <c r="V536" s="76">
        <f t="shared" si="105"/>
        <v>0</v>
      </c>
      <c r="W536" s="76">
        <f t="shared" si="106"/>
        <v>0</v>
      </c>
      <c r="X536" s="76">
        <f t="shared" si="107"/>
        <v>0</v>
      </c>
      <c r="Y536" s="76">
        <f t="shared" si="111"/>
        <v>173145.40000000002</v>
      </c>
    </row>
    <row r="537" spans="8:25">
      <c r="H537" s="84">
        <v>487</v>
      </c>
      <c r="I537" s="83">
        <f>IFERROR(EOMONTH(DATE($C$10,$C$9,1),487-1),"")</f>
        <v>59748</v>
      </c>
      <c r="J537" s="82">
        <f t="shared" si="108"/>
        <v>0</v>
      </c>
      <c r="K537" s="82">
        <f t="shared" si="98"/>
        <v>0</v>
      </c>
      <c r="L537" s="82">
        <f t="shared" si="99"/>
        <v>0</v>
      </c>
      <c r="M537" s="82">
        <f t="shared" si="100"/>
        <v>0</v>
      </c>
      <c r="N537" s="82">
        <f t="shared" si="101"/>
        <v>0</v>
      </c>
      <c r="O537" s="82">
        <f t="shared" si="102"/>
        <v>0</v>
      </c>
      <c r="P537" s="82">
        <f t="shared" si="109"/>
        <v>94193.249999999898</v>
      </c>
      <c r="Q537" s="81">
        <v>487</v>
      </c>
      <c r="R537" s="80">
        <f>IFERROR(EOMONTH(DATE($F$10,$F$9,1),487-1),"")</f>
        <v>59748</v>
      </c>
      <c r="S537" s="79">
        <f t="shared" si="110"/>
        <v>0</v>
      </c>
      <c r="T537" s="79">
        <f t="shared" si="103"/>
        <v>0</v>
      </c>
      <c r="U537" s="79">
        <f t="shared" si="104"/>
        <v>0</v>
      </c>
      <c r="V537" s="79">
        <f t="shared" si="105"/>
        <v>0</v>
      </c>
      <c r="W537" s="79">
        <f t="shared" si="106"/>
        <v>0</v>
      </c>
      <c r="X537" s="79">
        <f t="shared" si="107"/>
        <v>0</v>
      </c>
      <c r="Y537" s="79">
        <f t="shared" si="111"/>
        <v>173145.40000000002</v>
      </c>
    </row>
    <row r="538" spans="8:25">
      <c r="H538" s="78">
        <v>488</v>
      </c>
      <c r="I538" s="77">
        <f>IFERROR(EOMONTH(DATE($C$10,$C$9,1),488-1),"")</f>
        <v>59779</v>
      </c>
      <c r="J538" s="76">
        <f t="shared" si="108"/>
        <v>0</v>
      </c>
      <c r="K538" s="76">
        <f t="shared" si="98"/>
        <v>0</v>
      </c>
      <c r="L538" s="76">
        <f t="shared" si="99"/>
        <v>0</v>
      </c>
      <c r="M538" s="76">
        <f t="shared" si="100"/>
        <v>0</v>
      </c>
      <c r="N538" s="76">
        <f t="shared" si="101"/>
        <v>0</v>
      </c>
      <c r="O538" s="76">
        <f t="shared" si="102"/>
        <v>0</v>
      </c>
      <c r="P538" s="76">
        <f t="shared" si="109"/>
        <v>94193.249999999898</v>
      </c>
      <c r="Q538" s="78">
        <v>488</v>
      </c>
      <c r="R538" s="77">
        <f>IFERROR(EOMONTH(DATE($F$10,$F$9,1),488-1),"")</f>
        <v>59779</v>
      </c>
      <c r="S538" s="76">
        <f t="shared" si="110"/>
        <v>0</v>
      </c>
      <c r="T538" s="76">
        <f t="shared" si="103"/>
        <v>0</v>
      </c>
      <c r="U538" s="76">
        <f t="shared" si="104"/>
        <v>0</v>
      </c>
      <c r="V538" s="76">
        <f t="shared" si="105"/>
        <v>0</v>
      </c>
      <c r="W538" s="76">
        <f t="shared" si="106"/>
        <v>0</v>
      </c>
      <c r="X538" s="76">
        <f t="shared" si="107"/>
        <v>0</v>
      </c>
      <c r="Y538" s="76">
        <f t="shared" si="111"/>
        <v>173145.40000000002</v>
      </c>
    </row>
    <row r="539" spans="8:25">
      <c r="H539" s="84">
        <v>489</v>
      </c>
      <c r="I539" s="83">
        <f>IFERROR(EOMONTH(DATE($C$10,$C$9,1),489-1),"")</f>
        <v>59809</v>
      </c>
      <c r="J539" s="82">
        <f t="shared" si="108"/>
        <v>0</v>
      </c>
      <c r="K539" s="82">
        <f t="shared" si="98"/>
        <v>0</v>
      </c>
      <c r="L539" s="82">
        <f t="shared" si="99"/>
        <v>0</v>
      </c>
      <c r="M539" s="82">
        <f t="shared" si="100"/>
        <v>0</v>
      </c>
      <c r="N539" s="82">
        <f t="shared" si="101"/>
        <v>0</v>
      </c>
      <c r="O539" s="82">
        <f t="shared" si="102"/>
        <v>0</v>
      </c>
      <c r="P539" s="82">
        <f t="shared" si="109"/>
        <v>94193.249999999898</v>
      </c>
      <c r="Q539" s="81">
        <v>489</v>
      </c>
      <c r="R539" s="80">
        <f>IFERROR(EOMONTH(DATE($F$10,$F$9,1),489-1),"")</f>
        <v>59809</v>
      </c>
      <c r="S539" s="79">
        <f t="shared" si="110"/>
        <v>0</v>
      </c>
      <c r="T539" s="79">
        <f t="shared" si="103"/>
        <v>0</v>
      </c>
      <c r="U539" s="79">
        <f t="shared" si="104"/>
        <v>0</v>
      </c>
      <c r="V539" s="79">
        <f t="shared" si="105"/>
        <v>0</v>
      </c>
      <c r="W539" s="79">
        <f t="shared" si="106"/>
        <v>0</v>
      </c>
      <c r="X539" s="79">
        <f t="shared" si="107"/>
        <v>0</v>
      </c>
      <c r="Y539" s="79">
        <f t="shared" si="111"/>
        <v>173145.40000000002</v>
      </c>
    </row>
    <row r="540" spans="8:25">
      <c r="H540" s="78">
        <v>490</v>
      </c>
      <c r="I540" s="77">
        <f>IFERROR(EOMONTH(DATE($C$10,$C$9,1),490-1),"")</f>
        <v>59840</v>
      </c>
      <c r="J540" s="76">
        <f t="shared" si="108"/>
        <v>0</v>
      </c>
      <c r="K540" s="76">
        <f t="shared" si="98"/>
        <v>0</v>
      </c>
      <c r="L540" s="76">
        <f t="shared" si="99"/>
        <v>0</v>
      </c>
      <c r="M540" s="76">
        <f t="shared" si="100"/>
        <v>0</v>
      </c>
      <c r="N540" s="76">
        <f t="shared" si="101"/>
        <v>0</v>
      </c>
      <c r="O540" s="76">
        <f t="shared" si="102"/>
        <v>0</v>
      </c>
      <c r="P540" s="76">
        <f t="shared" si="109"/>
        <v>94193.249999999898</v>
      </c>
      <c r="Q540" s="78">
        <v>490</v>
      </c>
      <c r="R540" s="77">
        <f>IFERROR(EOMONTH(DATE($F$10,$F$9,1),490-1),"")</f>
        <v>59840</v>
      </c>
      <c r="S540" s="76">
        <f t="shared" si="110"/>
        <v>0</v>
      </c>
      <c r="T540" s="76">
        <f t="shared" si="103"/>
        <v>0</v>
      </c>
      <c r="U540" s="76">
        <f t="shared" si="104"/>
        <v>0</v>
      </c>
      <c r="V540" s="76">
        <f t="shared" si="105"/>
        <v>0</v>
      </c>
      <c r="W540" s="76">
        <f t="shared" si="106"/>
        <v>0</v>
      </c>
      <c r="X540" s="76">
        <f t="shared" si="107"/>
        <v>0</v>
      </c>
      <c r="Y540" s="76">
        <f t="shared" si="111"/>
        <v>173145.40000000002</v>
      </c>
    </row>
    <row r="541" spans="8:25">
      <c r="H541" s="84">
        <v>491</v>
      </c>
      <c r="I541" s="83">
        <f>IFERROR(EOMONTH(DATE($C$10,$C$9,1),491-1),"")</f>
        <v>59870</v>
      </c>
      <c r="J541" s="82">
        <f t="shared" si="108"/>
        <v>0</v>
      </c>
      <c r="K541" s="82">
        <f t="shared" si="98"/>
        <v>0</v>
      </c>
      <c r="L541" s="82">
        <f t="shared" si="99"/>
        <v>0</v>
      </c>
      <c r="M541" s="82">
        <f t="shared" si="100"/>
        <v>0</v>
      </c>
      <c r="N541" s="82">
        <f t="shared" si="101"/>
        <v>0</v>
      </c>
      <c r="O541" s="82">
        <f t="shared" si="102"/>
        <v>0</v>
      </c>
      <c r="P541" s="82">
        <f t="shared" si="109"/>
        <v>94193.249999999898</v>
      </c>
      <c r="Q541" s="81">
        <v>491</v>
      </c>
      <c r="R541" s="80">
        <f>IFERROR(EOMONTH(DATE($F$10,$F$9,1),491-1),"")</f>
        <v>59870</v>
      </c>
      <c r="S541" s="79">
        <f t="shared" si="110"/>
        <v>0</v>
      </c>
      <c r="T541" s="79">
        <f t="shared" si="103"/>
        <v>0</v>
      </c>
      <c r="U541" s="79">
        <f t="shared" si="104"/>
        <v>0</v>
      </c>
      <c r="V541" s="79">
        <f t="shared" si="105"/>
        <v>0</v>
      </c>
      <c r="W541" s="79">
        <f t="shared" si="106"/>
        <v>0</v>
      </c>
      <c r="X541" s="79">
        <f t="shared" si="107"/>
        <v>0</v>
      </c>
      <c r="Y541" s="79">
        <f t="shared" si="111"/>
        <v>173145.40000000002</v>
      </c>
    </row>
    <row r="542" spans="8:25">
      <c r="H542" s="78">
        <v>492</v>
      </c>
      <c r="I542" s="77">
        <f>IFERROR(EOMONTH(DATE($C$10,$C$9,1),492-1),"")</f>
        <v>59901</v>
      </c>
      <c r="J542" s="76">
        <f t="shared" si="108"/>
        <v>0</v>
      </c>
      <c r="K542" s="76">
        <f t="shared" si="98"/>
        <v>0</v>
      </c>
      <c r="L542" s="76">
        <f t="shared" si="99"/>
        <v>0</v>
      </c>
      <c r="M542" s="76">
        <f t="shared" si="100"/>
        <v>0</v>
      </c>
      <c r="N542" s="76">
        <f t="shared" si="101"/>
        <v>0</v>
      </c>
      <c r="O542" s="76">
        <f t="shared" si="102"/>
        <v>0</v>
      </c>
      <c r="P542" s="76">
        <f t="shared" si="109"/>
        <v>94193.249999999898</v>
      </c>
      <c r="Q542" s="78">
        <v>492</v>
      </c>
      <c r="R542" s="77">
        <f>IFERROR(EOMONTH(DATE($F$10,$F$9,1),492-1),"")</f>
        <v>59901</v>
      </c>
      <c r="S542" s="76">
        <f t="shared" si="110"/>
        <v>0</v>
      </c>
      <c r="T542" s="76">
        <f t="shared" si="103"/>
        <v>0</v>
      </c>
      <c r="U542" s="76">
        <f t="shared" si="104"/>
        <v>0</v>
      </c>
      <c r="V542" s="76">
        <f t="shared" si="105"/>
        <v>0</v>
      </c>
      <c r="W542" s="76">
        <f t="shared" si="106"/>
        <v>0</v>
      </c>
      <c r="X542" s="76">
        <f t="shared" si="107"/>
        <v>0</v>
      </c>
      <c r="Y542" s="76">
        <f t="shared" si="111"/>
        <v>173145.40000000002</v>
      </c>
    </row>
    <row r="543" spans="8:25">
      <c r="H543" s="84">
        <v>493</v>
      </c>
      <c r="I543" s="83">
        <f>IFERROR(EOMONTH(DATE($C$10,$C$9,1),493-1),"")</f>
        <v>59932</v>
      </c>
      <c r="J543" s="82">
        <f t="shared" si="108"/>
        <v>0</v>
      </c>
      <c r="K543" s="82">
        <f t="shared" si="98"/>
        <v>0</v>
      </c>
      <c r="L543" s="82">
        <f t="shared" si="99"/>
        <v>0</v>
      </c>
      <c r="M543" s="82">
        <f t="shared" si="100"/>
        <v>0</v>
      </c>
      <c r="N543" s="82">
        <f t="shared" si="101"/>
        <v>0</v>
      </c>
      <c r="O543" s="82">
        <f t="shared" si="102"/>
        <v>0</v>
      </c>
      <c r="P543" s="82">
        <f t="shared" si="109"/>
        <v>94193.249999999898</v>
      </c>
      <c r="Q543" s="81">
        <v>493</v>
      </c>
      <c r="R543" s="80">
        <f>IFERROR(EOMONTH(DATE($F$10,$F$9,1),493-1),"")</f>
        <v>59932</v>
      </c>
      <c r="S543" s="79">
        <f t="shared" si="110"/>
        <v>0</v>
      </c>
      <c r="T543" s="79">
        <f t="shared" si="103"/>
        <v>0</v>
      </c>
      <c r="U543" s="79">
        <f t="shared" si="104"/>
        <v>0</v>
      </c>
      <c r="V543" s="79">
        <f t="shared" si="105"/>
        <v>0</v>
      </c>
      <c r="W543" s="79">
        <f t="shared" si="106"/>
        <v>0</v>
      </c>
      <c r="X543" s="79">
        <f t="shared" si="107"/>
        <v>0</v>
      </c>
      <c r="Y543" s="79">
        <f t="shared" si="111"/>
        <v>173145.40000000002</v>
      </c>
    </row>
    <row r="544" spans="8:25">
      <c r="H544" s="78">
        <v>494</v>
      </c>
      <c r="I544" s="77">
        <f>IFERROR(EOMONTH(DATE($C$10,$C$9,1),494-1),"")</f>
        <v>59961</v>
      </c>
      <c r="J544" s="76">
        <f t="shared" si="108"/>
        <v>0</v>
      </c>
      <c r="K544" s="76">
        <f t="shared" si="98"/>
        <v>0</v>
      </c>
      <c r="L544" s="76">
        <f t="shared" si="99"/>
        <v>0</v>
      </c>
      <c r="M544" s="76">
        <f t="shared" si="100"/>
        <v>0</v>
      </c>
      <c r="N544" s="76">
        <f t="shared" si="101"/>
        <v>0</v>
      </c>
      <c r="O544" s="76">
        <f t="shared" si="102"/>
        <v>0</v>
      </c>
      <c r="P544" s="76">
        <f t="shared" si="109"/>
        <v>94193.249999999898</v>
      </c>
      <c r="Q544" s="78">
        <v>494</v>
      </c>
      <c r="R544" s="77">
        <f>IFERROR(EOMONTH(DATE($F$10,$F$9,1),494-1),"")</f>
        <v>59961</v>
      </c>
      <c r="S544" s="76">
        <f t="shared" si="110"/>
        <v>0</v>
      </c>
      <c r="T544" s="76">
        <f t="shared" si="103"/>
        <v>0</v>
      </c>
      <c r="U544" s="76">
        <f t="shared" si="104"/>
        <v>0</v>
      </c>
      <c r="V544" s="76">
        <f t="shared" si="105"/>
        <v>0</v>
      </c>
      <c r="W544" s="76">
        <f t="shared" si="106"/>
        <v>0</v>
      </c>
      <c r="X544" s="76">
        <f t="shared" si="107"/>
        <v>0</v>
      </c>
      <c r="Y544" s="76">
        <f t="shared" si="111"/>
        <v>173145.40000000002</v>
      </c>
    </row>
    <row r="545" spans="8:25">
      <c r="H545" s="84">
        <v>495</v>
      </c>
      <c r="I545" s="83">
        <f>IFERROR(EOMONTH(DATE($C$10,$C$9,1),495-1),"")</f>
        <v>59992</v>
      </c>
      <c r="J545" s="82">
        <f t="shared" si="108"/>
        <v>0</v>
      </c>
      <c r="K545" s="82">
        <f t="shared" si="98"/>
        <v>0</v>
      </c>
      <c r="L545" s="82">
        <f t="shared" si="99"/>
        <v>0</v>
      </c>
      <c r="M545" s="82">
        <f t="shared" si="100"/>
        <v>0</v>
      </c>
      <c r="N545" s="82">
        <f t="shared" si="101"/>
        <v>0</v>
      </c>
      <c r="O545" s="82">
        <f t="shared" si="102"/>
        <v>0</v>
      </c>
      <c r="P545" s="82">
        <f t="shared" si="109"/>
        <v>94193.249999999898</v>
      </c>
      <c r="Q545" s="81">
        <v>495</v>
      </c>
      <c r="R545" s="80">
        <f>IFERROR(EOMONTH(DATE($F$10,$F$9,1),495-1),"")</f>
        <v>59992</v>
      </c>
      <c r="S545" s="79">
        <f t="shared" si="110"/>
        <v>0</v>
      </c>
      <c r="T545" s="79">
        <f t="shared" si="103"/>
        <v>0</v>
      </c>
      <c r="U545" s="79">
        <f t="shared" si="104"/>
        <v>0</v>
      </c>
      <c r="V545" s="79">
        <f t="shared" si="105"/>
        <v>0</v>
      </c>
      <c r="W545" s="79">
        <f t="shared" si="106"/>
        <v>0</v>
      </c>
      <c r="X545" s="79">
        <f t="shared" si="107"/>
        <v>0</v>
      </c>
      <c r="Y545" s="79">
        <f t="shared" si="111"/>
        <v>173145.40000000002</v>
      </c>
    </row>
    <row r="546" spans="8:25">
      <c r="H546" s="78">
        <v>496</v>
      </c>
      <c r="I546" s="77">
        <f>IFERROR(EOMONTH(DATE($C$10,$C$9,1),496-1),"")</f>
        <v>60022</v>
      </c>
      <c r="J546" s="76">
        <f t="shared" si="108"/>
        <v>0</v>
      </c>
      <c r="K546" s="76">
        <f t="shared" si="98"/>
        <v>0</v>
      </c>
      <c r="L546" s="76">
        <f t="shared" si="99"/>
        <v>0</v>
      </c>
      <c r="M546" s="76">
        <f t="shared" si="100"/>
        <v>0</v>
      </c>
      <c r="N546" s="76">
        <f t="shared" si="101"/>
        <v>0</v>
      </c>
      <c r="O546" s="76">
        <f t="shared" si="102"/>
        <v>0</v>
      </c>
      <c r="P546" s="76">
        <f t="shared" si="109"/>
        <v>94193.249999999898</v>
      </c>
      <c r="Q546" s="78">
        <v>496</v>
      </c>
      <c r="R546" s="77">
        <f>IFERROR(EOMONTH(DATE($F$10,$F$9,1),496-1),"")</f>
        <v>60022</v>
      </c>
      <c r="S546" s="76">
        <f t="shared" si="110"/>
        <v>0</v>
      </c>
      <c r="T546" s="76">
        <f t="shared" si="103"/>
        <v>0</v>
      </c>
      <c r="U546" s="76">
        <f t="shared" si="104"/>
        <v>0</v>
      </c>
      <c r="V546" s="76">
        <f t="shared" si="105"/>
        <v>0</v>
      </c>
      <c r="W546" s="76">
        <f t="shared" si="106"/>
        <v>0</v>
      </c>
      <c r="X546" s="76">
        <f t="shared" si="107"/>
        <v>0</v>
      </c>
      <c r="Y546" s="76">
        <f t="shared" si="111"/>
        <v>173145.40000000002</v>
      </c>
    </row>
    <row r="547" spans="8:25">
      <c r="H547" s="84">
        <v>497</v>
      </c>
      <c r="I547" s="83">
        <f>IFERROR(EOMONTH(DATE($C$10,$C$9,1),497-1),"")</f>
        <v>60053</v>
      </c>
      <c r="J547" s="82">
        <f t="shared" si="108"/>
        <v>0</v>
      </c>
      <c r="K547" s="82">
        <f t="shared" si="98"/>
        <v>0</v>
      </c>
      <c r="L547" s="82">
        <f t="shared" si="99"/>
        <v>0</v>
      </c>
      <c r="M547" s="82">
        <f t="shared" si="100"/>
        <v>0</v>
      </c>
      <c r="N547" s="82">
        <f t="shared" si="101"/>
        <v>0</v>
      </c>
      <c r="O547" s="82">
        <f t="shared" si="102"/>
        <v>0</v>
      </c>
      <c r="P547" s="82">
        <f t="shared" si="109"/>
        <v>94193.249999999898</v>
      </c>
      <c r="Q547" s="81">
        <v>497</v>
      </c>
      <c r="R547" s="80">
        <f>IFERROR(EOMONTH(DATE($F$10,$F$9,1),497-1),"")</f>
        <v>60053</v>
      </c>
      <c r="S547" s="79">
        <f t="shared" si="110"/>
        <v>0</v>
      </c>
      <c r="T547" s="79">
        <f t="shared" si="103"/>
        <v>0</v>
      </c>
      <c r="U547" s="79">
        <f t="shared" si="104"/>
        <v>0</v>
      </c>
      <c r="V547" s="79">
        <f t="shared" si="105"/>
        <v>0</v>
      </c>
      <c r="W547" s="79">
        <f t="shared" si="106"/>
        <v>0</v>
      </c>
      <c r="X547" s="79">
        <f t="shared" si="107"/>
        <v>0</v>
      </c>
      <c r="Y547" s="79">
        <f t="shared" si="111"/>
        <v>173145.40000000002</v>
      </c>
    </row>
    <row r="548" spans="8:25">
      <c r="H548" s="78">
        <v>498</v>
      </c>
      <c r="I548" s="77">
        <f>IFERROR(EOMONTH(DATE($C$10,$C$9,1),498-1),"")</f>
        <v>60083</v>
      </c>
      <c r="J548" s="76">
        <f t="shared" si="108"/>
        <v>0</v>
      </c>
      <c r="K548" s="76">
        <f t="shared" si="98"/>
        <v>0</v>
      </c>
      <c r="L548" s="76">
        <f t="shared" si="99"/>
        <v>0</v>
      </c>
      <c r="M548" s="76">
        <f t="shared" si="100"/>
        <v>0</v>
      </c>
      <c r="N548" s="76">
        <f t="shared" si="101"/>
        <v>0</v>
      </c>
      <c r="O548" s="76">
        <f t="shared" si="102"/>
        <v>0</v>
      </c>
      <c r="P548" s="76">
        <f t="shared" si="109"/>
        <v>94193.249999999898</v>
      </c>
      <c r="Q548" s="78">
        <v>498</v>
      </c>
      <c r="R548" s="77">
        <f>IFERROR(EOMONTH(DATE($F$10,$F$9,1),498-1),"")</f>
        <v>60083</v>
      </c>
      <c r="S548" s="76">
        <f t="shared" si="110"/>
        <v>0</v>
      </c>
      <c r="T548" s="76">
        <f t="shared" si="103"/>
        <v>0</v>
      </c>
      <c r="U548" s="76">
        <f t="shared" si="104"/>
        <v>0</v>
      </c>
      <c r="V548" s="76">
        <f t="shared" si="105"/>
        <v>0</v>
      </c>
      <c r="W548" s="76">
        <f t="shared" si="106"/>
        <v>0</v>
      </c>
      <c r="X548" s="76">
        <f t="shared" si="107"/>
        <v>0</v>
      </c>
      <c r="Y548" s="76">
        <f t="shared" si="111"/>
        <v>173145.40000000002</v>
      </c>
    </row>
    <row r="549" spans="8:25">
      <c r="H549" s="84">
        <v>499</v>
      </c>
      <c r="I549" s="83">
        <f>IFERROR(EOMONTH(DATE($C$10,$C$9,1),499-1),"")</f>
        <v>60114</v>
      </c>
      <c r="J549" s="82">
        <f t="shared" si="108"/>
        <v>0</v>
      </c>
      <c r="K549" s="82">
        <f t="shared" si="98"/>
        <v>0</v>
      </c>
      <c r="L549" s="82">
        <f t="shared" si="99"/>
        <v>0</v>
      </c>
      <c r="M549" s="82">
        <f t="shared" si="100"/>
        <v>0</v>
      </c>
      <c r="N549" s="82">
        <f t="shared" si="101"/>
        <v>0</v>
      </c>
      <c r="O549" s="82">
        <f t="shared" si="102"/>
        <v>0</v>
      </c>
      <c r="P549" s="82">
        <f t="shared" si="109"/>
        <v>94193.249999999898</v>
      </c>
      <c r="Q549" s="81">
        <v>499</v>
      </c>
      <c r="R549" s="80">
        <f>IFERROR(EOMONTH(DATE($F$10,$F$9,1),499-1),"")</f>
        <v>60114</v>
      </c>
      <c r="S549" s="79">
        <f t="shared" si="110"/>
        <v>0</v>
      </c>
      <c r="T549" s="79">
        <f t="shared" si="103"/>
        <v>0</v>
      </c>
      <c r="U549" s="79">
        <f t="shared" si="104"/>
        <v>0</v>
      </c>
      <c r="V549" s="79">
        <f t="shared" si="105"/>
        <v>0</v>
      </c>
      <c r="W549" s="79">
        <f t="shared" si="106"/>
        <v>0</v>
      </c>
      <c r="X549" s="79">
        <f t="shared" si="107"/>
        <v>0</v>
      </c>
      <c r="Y549" s="79">
        <f t="shared" si="111"/>
        <v>173145.40000000002</v>
      </c>
    </row>
    <row r="550" spans="8:25">
      <c r="H550" s="78">
        <v>500</v>
      </c>
      <c r="I550" s="77">
        <f>IFERROR(EOMONTH(DATE($C$10,$C$9,1),500-1),"")</f>
        <v>60145</v>
      </c>
      <c r="J550" s="76">
        <f t="shared" si="108"/>
        <v>0</v>
      </c>
      <c r="K550" s="76">
        <f t="shared" si="98"/>
        <v>0</v>
      </c>
      <c r="L550" s="76">
        <f t="shared" si="99"/>
        <v>0</v>
      </c>
      <c r="M550" s="76">
        <f t="shared" si="100"/>
        <v>0</v>
      </c>
      <c r="N550" s="76">
        <f t="shared" si="101"/>
        <v>0</v>
      </c>
      <c r="O550" s="76">
        <f t="shared" si="102"/>
        <v>0</v>
      </c>
      <c r="P550" s="76">
        <f t="shared" si="109"/>
        <v>94193.249999999898</v>
      </c>
      <c r="Q550" s="78">
        <v>500</v>
      </c>
      <c r="R550" s="77">
        <f>IFERROR(EOMONTH(DATE($F$10,$F$9,1),500-1),"")</f>
        <v>60145</v>
      </c>
      <c r="S550" s="76">
        <f t="shared" si="110"/>
        <v>0</v>
      </c>
      <c r="T550" s="76">
        <f t="shared" si="103"/>
        <v>0</v>
      </c>
      <c r="U550" s="76">
        <f t="shared" si="104"/>
        <v>0</v>
      </c>
      <c r="V550" s="76">
        <f t="shared" si="105"/>
        <v>0</v>
      </c>
      <c r="W550" s="76">
        <f t="shared" si="106"/>
        <v>0</v>
      </c>
      <c r="X550" s="76">
        <f t="shared" si="107"/>
        <v>0</v>
      </c>
      <c r="Y550" s="76">
        <f t="shared" si="111"/>
        <v>173145.40000000002</v>
      </c>
    </row>
    <row r="551" spans="8:25">
      <c r="H551" s="84">
        <v>501</v>
      </c>
      <c r="I551" s="83">
        <f>IFERROR(EOMONTH(DATE($C$10,$C$9,1),501-1),"")</f>
        <v>60175</v>
      </c>
      <c r="J551" s="82">
        <f t="shared" si="108"/>
        <v>0</v>
      </c>
      <c r="K551" s="82">
        <f t="shared" si="98"/>
        <v>0</v>
      </c>
      <c r="L551" s="82">
        <f t="shared" si="99"/>
        <v>0</v>
      </c>
      <c r="M551" s="82">
        <f t="shared" si="100"/>
        <v>0</v>
      </c>
      <c r="N551" s="82">
        <f t="shared" si="101"/>
        <v>0</v>
      </c>
      <c r="O551" s="82">
        <f t="shared" si="102"/>
        <v>0</v>
      </c>
      <c r="P551" s="82">
        <f t="shared" si="109"/>
        <v>94193.249999999898</v>
      </c>
      <c r="Q551" s="81">
        <v>501</v>
      </c>
      <c r="R551" s="80">
        <f>IFERROR(EOMONTH(DATE($F$10,$F$9,1),501-1),"")</f>
        <v>60175</v>
      </c>
      <c r="S551" s="79">
        <f t="shared" si="110"/>
        <v>0</v>
      </c>
      <c r="T551" s="79">
        <f t="shared" si="103"/>
        <v>0</v>
      </c>
      <c r="U551" s="79">
        <f t="shared" si="104"/>
        <v>0</v>
      </c>
      <c r="V551" s="79">
        <f t="shared" si="105"/>
        <v>0</v>
      </c>
      <c r="W551" s="79">
        <f t="shared" si="106"/>
        <v>0</v>
      </c>
      <c r="X551" s="79">
        <f t="shared" si="107"/>
        <v>0</v>
      </c>
      <c r="Y551" s="79">
        <f t="shared" si="111"/>
        <v>173145.40000000002</v>
      </c>
    </row>
    <row r="552" spans="8:25">
      <c r="H552" s="78">
        <v>502</v>
      </c>
      <c r="I552" s="77">
        <f>IFERROR(EOMONTH(DATE($C$10,$C$9,1),502-1),"")</f>
        <v>60206</v>
      </c>
      <c r="J552" s="76">
        <f t="shared" si="108"/>
        <v>0</v>
      </c>
      <c r="K552" s="76">
        <f t="shared" si="98"/>
        <v>0</v>
      </c>
      <c r="L552" s="76">
        <f t="shared" si="99"/>
        <v>0</v>
      </c>
      <c r="M552" s="76">
        <f t="shared" si="100"/>
        <v>0</v>
      </c>
      <c r="N552" s="76">
        <f t="shared" si="101"/>
        <v>0</v>
      </c>
      <c r="O552" s="76">
        <f t="shared" si="102"/>
        <v>0</v>
      </c>
      <c r="P552" s="76">
        <f t="shared" si="109"/>
        <v>94193.249999999898</v>
      </c>
      <c r="Q552" s="78">
        <v>502</v>
      </c>
      <c r="R552" s="77">
        <f>IFERROR(EOMONTH(DATE($F$10,$F$9,1),502-1),"")</f>
        <v>60206</v>
      </c>
      <c r="S552" s="76">
        <f t="shared" si="110"/>
        <v>0</v>
      </c>
      <c r="T552" s="76">
        <f t="shared" si="103"/>
        <v>0</v>
      </c>
      <c r="U552" s="76">
        <f t="shared" si="104"/>
        <v>0</v>
      </c>
      <c r="V552" s="76">
        <f t="shared" si="105"/>
        <v>0</v>
      </c>
      <c r="W552" s="76">
        <f t="shared" si="106"/>
        <v>0</v>
      </c>
      <c r="X552" s="76">
        <f t="shared" si="107"/>
        <v>0</v>
      </c>
      <c r="Y552" s="76">
        <f t="shared" si="111"/>
        <v>173145.40000000002</v>
      </c>
    </row>
    <row r="553" spans="8:25">
      <c r="H553" s="84">
        <v>503</v>
      </c>
      <c r="I553" s="83">
        <f>IFERROR(EOMONTH(DATE($C$10,$C$9,1),503-1),"")</f>
        <v>60236</v>
      </c>
      <c r="J553" s="82">
        <f t="shared" si="108"/>
        <v>0</v>
      </c>
      <c r="K553" s="82">
        <f t="shared" si="98"/>
        <v>0</v>
      </c>
      <c r="L553" s="82">
        <f t="shared" si="99"/>
        <v>0</v>
      </c>
      <c r="M553" s="82">
        <f t="shared" si="100"/>
        <v>0</v>
      </c>
      <c r="N553" s="82">
        <f t="shared" si="101"/>
        <v>0</v>
      </c>
      <c r="O553" s="82">
        <f t="shared" si="102"/>
        <v>0</v>
      </c>
      <c r="P553" s="82">
        <f t="shared" si="109"/>
        <v>94193.249999999898</v>
      </c>
      <c r="Q553" s="81">
        <v>503</v>
      </c>
      <c r="R553" s="80">
        <f>IFERROR(EOMONTH(DATE($F$10,$F$9,1),503-1),"")</f>
        <v>60236</v>
      </c>
      <c r="S553" s="79">
        <f t="shared" si="110"/>
        <v>0</v>
      </c>
      <c r="T553" s="79">
        <f t="shared" si="103"/>
        <v>0</v>
      </c>
      <c r="U553" s="79">
        <f t="shared" si="104"/>
        <v>0</v>
      </c>
      <c r="V553" s="79">
        <f t="shared" si="105"/>
        <v>0</v>
      </c>
      <c r="W553" s="79">
        <f t="shared" si="106"/>
        <v>0</v>
      </c>
      <c r="X553" s="79">
        <f t="shared" si="107"/>
        <v>0</v>
      </c>
      <c r="Y553" s="79">
        <f t="shared" si="111"/>
        <v>173145.40000000002</v>
      </c>
    </row>
    <row r="554" spans="8:25">
      <c r="H554" s="78">
        <v>504</v>
      </c>
      <c r="I554" s="77">
        <f>IFERROR(EOMONTH(DATE($C$10,$C$9,1),504-1),"")</f>
        <v>60267</v>
      </c>
      <c r="J554" s="76">
        <f t="shared" si="108"/>
        <v>0</v>
      </c>
      <c r="K554" s="76">
        <f t="shared" si="98"/>
        <v>0</v>
      </c>
      <c r="L554" s="76">
        <f t="shared" si="99"/>
        <v>0</v>
      </c>
      <c r="M554" s="76">
        <f t="shared" si="100"/>
        <v>0</v>
      </c>
      <c r="N554" s="76">
        <f t="shared" si="101"/>
        <v>0</v>
      </c>
      <c r="O554" s="76">
        <f t="shared" si="102"/>
        <v>0</v>
      </c>
      <c r="P554" s="76">
        <f t="shared" si="109"/>
        <v>94193.249999999898</v>
      </c>
      <c r="Q554" s="78">
        <v>504</v>
      </c>
      <c r="R554" s="77">
        <f>IFERROR(EOMONTH(DATE($F$10,$F$9,1),504-1),"")</f>
        <v>60267</v>
      </c>
      <c r="S554" s="76">
        <f t="shared" si="110"/>
        <v>0</v>
      </c>
      <c r="T554" s="76">
        <f t="shared" si="103"/>
        <v>0</v>
      </c>
      <c r="U554" s="76">
        <f t="shared" si="104"/>
        <v>0</v>
      </c>
      <c r="V554" s="76">
        <f t="shared" si="105"/>
        <v>0</v>
      </c>
      <c r="W554" s="76">
        <f t="shared" si="106"/>
        <v>0</v>
      </c>
      <c r="X554" s="76">
        <f t="shared" si="107"/>
        <v>0</v>
      </c>
      <c r="Y554" s="76">
        <f t="shared" si="111"/>
        <v>173145.40000000002</v>
      </c>
    </row>
    <row r="555" spans="8:25">
      <c r="H555" s="84">
        <v>505</v>
      </c>
      <c r="I555" s="83">
        <f>IFERROR(EOMONTH(DATE($C$10,$C$9,1),505-1),"")</f>
        <v>60298</v>
      </c>
      <c r="J555" s="82">
        <f t="shared" si="108"/>
        <v>0</v>
      </c>
      <c r="K555" s="82">
        <f t="shared" si="98"/>
        <v>0</v>
      </c>
      <c r="L555" s="82">
        <f t="shared" si="99"/>
        <v>0</v>
      </c>
      <c r="M555" s="82">
        <f t="shared" si="100"/>
        <v>0</v>
      </c>
      <c r="N555" s="82">
        <f t="shared" si="101"/>
        <v>0</v>
      </c>
      <c r="O555" s="82">
        <f t="shared" si="102"/>
        <v>0</v>
      </c>
      <c r="P555" s="82">
        <f t="shared" si="109"/>
        <v>94193.249999999898</v>
      </c>
      <c r="Q555" s="81">
        <v>505</v>
      </c>
      <c r="R555" s="80">
        <f>IFERROR(EOMONTH(DATE($F$10,$F$9,1),505-1),"")</f>
        <v>60298</v>
      </c>
      <c r="S555" s="79">
        <f t="shared" si="110"/>
        <v>0</v>
      </c>
      <c r="T555" s="79">
        <f t="shared" si="103"/>
        <v>0</v>
      </c>
      <c r="U555" s="79">
        <f t="shared" si="104"/>
        <v>0</v>
      </c>
      <c r="V555" s="79">
        <f t="shared" si="105"/>
        <v>0</v>
      </c>
      <c r="W555" s="79">
        <f t="shared" si="106"/>
        <v>0</v>
      </c>
      <c r="X555" s="79">
        <f t="shared" si="107"/>
        <v>0</v>
      </c>
      <c r="Y555" s="79">
        <f t="shared" si="111"/>
        <v>173145.40000000002</v>
      </c>
    </row>
    <row r="556" spans="8:25">
      <c r="H556" s="78">
        <v>506</v>
      </c>
      <c r="I556" s="77">
        <f>IFERROR(EOMONTH(DATE($C$10,$C$9,1),506-1),"")</f>
        <v>60326</v>
      </c>
      <c r="J556" s="76">
        <f t="shared" si="108"/>
        <v>0</v>
      </c>
      <c r="K556" s="76">
        <f t="shared" si="98"/>
        <v>0</v>
      </c>
      <c r="L556" s="76">
        <f t="shared" si="99"/>
        <v>0</v>
      </c>
      <c r="M556" s="76">
        <f t="shared" si="100"/>
        <v>0</v>
      </c>
      <c r="N556" s="76">
        <f t="shared" si="101"/>
        <v>0</v>
      </c>
      <c r="O556" s="76">
        <f t="shared" si="102"/>
        <v>0</v>
      </c>
      <c r="P556" s="76">
        <f t="shared" si="109"/>
        <v>94193.249999999898</v>
      </c>
      <c r="Q556" s="78">
        <v>506</v>
      </c>
      <c r="R556" s="77">
        <f>IFERROR(EOMONTH(DATE($F$10,$F$9,1),506-1),"")</f>
        <v>60326</v>
      </c>
      <c r="S556" s="76">
        <f t="shared" si="110"/>
        <v>0</v>
      </c>
      <c r="T556" s="76">
        <f t="shared" si="103"/>
        <v>0</v>
      </c>
      <c r="U556" s="76">
        <f t="shared" si="104"/>
        <v>0</v>
      </c>
      <c r="V556" s="76">
        <f t="shared" si="105"/>
        <v>0</v>
      </c>
      <c r="W556" s="76">
        <f t="shared" si="106"/>
        <v>0</v>
      </c>
      <c r="X556" s="76">
        <f t="shared" si="107"/>
        <v>0</v>
      </c>
      <c r="Y556" s="76">
        <f t="shared" si="111"/>
        <v>173145.40000000002</v>
      </c>
    </row>
    <row r="557" spans="8:25">
      <c r="H557" s="84">
        <v>507</v>
      </c>
      <c r="I557" s="83">
        <f>IFERROR(EOMONTH(DATE($C$10,$C$9,1),507-1),"")</f>
        <v>60357</v>
      </c>
      <c r="J557" s="82">
        <f t="shared" si="108"/>
        <v>0</v>
      </c>
      <c r="K557" s="82">
        <f t="shared" si="98"/>
        <v>0</v>
      </c>
      <c r="L557" s="82">
        <f t="shared" si="99"/>
        <v>0</v>
      </c>
      <c r="M557" s="82">
        <f t="shared" si="100"/>
        <v>0</v>
      </c>
      <c r="N557" s="82">
        <f t="shared" si="101"/>
        <v>0</v>
      </c>
      <c r="O557" s="82">
        <f t="shared" si="102"/>
        <v>0</v>
      </c>
      <c r="P557" s="82">
        <f t="shared" si="109"/>
        <v>94193.249999999898</v>
      </c>
      <c r="Q557" s="81">
        <v>507</v>
      </c>
      <c r="R557" s="80">
        <f>IFERROR(EOMONTH(DATE($F$10,$F$9,1),507-1),"")</f>
        <v>60357</v>
      </c>
      <c r="S557" s="79">
        <f t="shared" si="110"/>
        <v>0</v>
      </c>
      <c r="T557" s="79">
        <f t="shared" si="103"/>
        <v>0</v>
      </c>
      <c r="U557" s="79">
        <f t="shared" si="104"/>
        <v>0</v>
      </c>
      <c r="V557" s="79">
        <f t="shared" si="105"/>
        <v>0</v>
      </c>
      <c r="W557" s="79">
        <f t="shared" si="106"/>
        <v>0</v>
      </c>
      <c r="X557" s="79">
        <f t="shared" si="107"/>
        <v>0</v>
      </c>
      <c r="Y557" s="79">
        <f t="shared" si="111"/>
        <v>173145.40000000002</v>
      </c>
    </row>
    <row r="558" spans="8:25">
      <c r="H558" s="78">
        <v>508</v>
      </c>
      <c r="I558" s="77">
        <f>IFERROR(EOMONTH(DATE($C$10,$C$9,1),508-1),"")</f>
        <v>60387</v>
      </c>
      <c r="J558" s="76">
        <f t="shared" si="108"/>
        <v>0</v>
      </c>
      <c r="K558" s="76">
        <f t="shared" si="98"/>
        <v>0</v>
      </c>
      <c r="L558" s="76">
        <f t="shared" si="99"/>
        <v>0</v>
      </c>
      <c r="M558" s="76">
        <f t="shared" si="100"/>
        <v>0</v>
      </c>
      <c r="N558" s="76">
        <f t="shared" si="101"/>
        <v>0</v>
      </c>
      <c r="O558" s="76">
        <f t="shared" si="102"/>
        <v>0</v>
      </c>
      <c r="P558" s="76">
        <f t="shared" si="109"/>
        <v>94193.249999999898</v>
      </c>
      <c r="Q558" s="78">
        <v>508</v>
      </c>
      <c r="R558" s="77">
        <f>IFERROR(EOMONTH(DATE($F$10,$F$9,1),508-1),"")</f>
        <v>60387</v>
      </c>
      <c r="S558" s="76">
        <f t="shared" si="110"/>
        <v>0</v>
      </c>
      <c r="T558" s="76">
        <f t="shared" si="103"/>
        <v>0</v>
      </c>
      <c r="U558" s="76">
        <f t="shared" si="104"/>
        <v>0</v>
      </c>
      <c r="V558" s="76">
        <f t="shared" si="105"/>
        <v>0</v>
      </c>
      <c r="W558" s="76">
        <f t="shared" si="106"/>
        <v>0</v>
      </c>
      <c r="X558" s="76">
        <f t="shared" si="107"/>
        <v>0</v>
      </c>
      <c r="Y558" s="76">
        <f t="shared" si="111"/>
        <v>173145.40000000002</v>
      </c>
    </row>
    <row r="559" spans="8:25">
      <c r="H559" s="84">
        <v>509</v>
      </c>
      <c r="I559" s="83">
        <f>IFERROR(EOMONTH(DATE($C$10,$C$9,1),509-1),"")</f>
        <v>60418</v>
      </c>
      <c r="J559" s="82">
        <f t="shared" si="108"/>
        <v>0</v>
      </c>
      <c r="K559" s="82">
        <f t="shared" si="98"/>
        <v>0</v>
      </c>
      <c r="L559" s="82">
        <f t="shared" si="99"/>
        <v>0</v>
      </c>
      <c r="M559" s="82">
        <f t="shared" si="100"/>
        <v>0</v>
      </c>
      <c r="N559" s="82">
        <f t="shared" si="101"/>
        <v>0</v>
      </c>
      <c r="O559" s="82">
        <f t="shared" si="102"/>
        <v>0</v>
      </c>
      <c r="P559" s="82">
        <f t="shared" si="109"/>
        <v>94193.249999999898</v>
      </c>
      <c r="Q559" s="81">
        <v>509</v>
      </c>
      <c r="R559" s="80">
        <f>IFERROR(EOMONTH(DATE($F$10,$F$9,1),509-1),"")</f>
        <v>60418</v>
      </c>
      <c r="S559" s="79">
        <f t="shared" si="110"/>
        <v>0</v>
      </c>
      <c r="T559" s="79">
        <f t="shared" si="103"/>
        <v>0</v>
      </c>
      <c r="U559" s="79">
        <f t="shared" si="104"/>
        <v>0</v>
      </c>
      <c r="V559" s="79">
        <f t="shared" si="105"/>
        <v>0</v>
      </c>
      <c r="W559" s="79">
        <f t="shared" si="106"/>
        <v>0</v>
      </c>
      <c r="X559" s="79">
        <f t="shared" si="107"/>
        <v>0</v>
      </c>
      <c r="Y559" s="79">
        <f t="shared" si="111"/>
        <v>173145.40000000002</v>
      </c>
    </row>
    <row r="560" spans="8:25">
      <c r="H560" s="78">
        <v>510</v>
      </c>
      <c r="I560" s="77">
        <f>IFERROR(EOMONTH(DATE($C$10,$C$9,1),510-1),"")</f>
        <v>60448</v>
      </c>
      <c r="J560" s="76">
        <f t="shared" si="108"/>
        <v>0</v>
      </c>
      <c r="K560" s="76">
        <f t="shared" si="98"/>
        <v>0</v>
      </c>
      <c r="L560" s="76">
        <f t="shared" si="99"/>
        <v>0</v>
      </c>
      <c r="M560" s="76">
        <f t="shared" si="100"/>
        <v>0</v>
      </c>
      <c r="N560" s="76">
        <f t="shared" si="101"/>
        <v>0</v>
      </c>
      <c r="O560" s="76">
        <f t="shared" si="102"/>
        <v>0</v>
      </c>
      <c r="P560" s="76">
        <f t="shared" si="109"/>
        <v>94193.249999999898</v>
      </c>
      <c r="Q560" s="78">
        <v>510</v>
      </c>
      <c r="R560" s="77">
        <f>IFERROR(EOMONTH(DATE($F$10,$F$9,1),510-1),"")</f>
        <v>60448</v>
      </c>
      <c r="S560" s="76">
        <f t="shared" si="110"/>
        <v>0</v>
      </c>
      <c r="T560" s="76">
        <f t="shared" si="103"/>
        <v>0</v>
      </c>
      <c r="U560" s="76">
        <f t="shared" si="104"/>
        <v>0</v>
      </c>
      <c r="V560" s="76">
        <f t="shared" si="105"/>
        <v>0</v>
      </c>
      <c r="W560" s="76">
        <f t="shared" si="106"/>
        <v>0</v>
      </c>
      <c r="X560" s="76">
        <f t="shared" si="107"/>
        <v>0</v>
      </c>
      <c r="Y560" s="76">
        <f t="shared" si="111"/>
        <v>173145.40000000002</v>
      </c>
    </row>
    <row r="561" spans="8:25">
      <c r="H561" s="84">
        <v>511</v>
      </c>
      <c r="I561" s="83">
        <f>IFERROR(EOMONTH(DATE($C$10,$C$9,1),511-1),"")</f>
        <v>60479</v>
      </c>
      <c r="J561" s="82">
        <f t="shared" si="108"/>
        <v>0</v>
      </c>
      <c r="K561" s="82">
        <f t="shared" si="98"/>
        <v>0</v>
      </c>
      <c r="L561" s="82">
        <f t="shared" si="99"/>
        <v>0</v>
      </c>
      <c r="M561" s="82">
        <f t="shared" si="100"/>
        <v>0</v>
      </c>
      <c r="N561" s="82">
        <f t="shared" si="101"/>
        <v>0</v>
      </c>
      <c r="O561" s="82">
        <f t="shared" si="102"/>
        <v>0</v>
      </c>
      <c r="P561" s="82">
        <f t="shared" si="109"/>
        <v>94193.249999999898</v>
      </c>
      <c r="Q561" s="81">
        <v>511</v>
      </c>
      <c r="R561" s="80">
        <f>IFERROR(EOMONTH(DATE($F$10,$F$9,1),511-1),"")</f>
        <v>60479</v>
      </c>
      <c r="S561" s="79">
        <f t="shared" si="110"/>
        <v>0</v>
      </c>
      <c r="T561" s="79">
        <f t="shared" si="103"/>
        <v>0</v>
      </c>
      <c r="U561" s="79">
        <f t="shared" si="104"/>
        <v>0</v>
      </c>
      <c r="V561" s="79">
        <f t="shared" si="105"/>
        <v>0</v>
      </c>
      <c r="W561" s="79">
        <f t="shared" si="106"/>
        <v>0</v>
      </c>
      <c r="X561" s="79">
        <f t="shared" si="107"/>
        <v>0</v>
      </c>
      <c r="Y561" s="79">
        <f t="shared" si="111"/>
        <v>173145.40000000002</v>
      </c>
    </row>
    <row r="562" spans="8:25">
      <c r="H562" s="78">
        <v>512</v>
      </c>
      <c r="I562" s="77">
        <f>IFERROR(EOMONTH(DATE($C$10,$C$9,1),512-1),"")</f>
        <v>60510</v>
      </c>
      <c r="J562" s="76">
        <f t="shared" si="108"/>
        <v>0</v>
      </c>
      <c r="K562" s="76">
        <f t="shared" si="98"/>
        <v>0</v>
      </c>
      <c r="L562" s="76">
        <f t="shared" si="99"/>
        <v>0</v>
      </c>
      <c r="M562" s="76">
        <f t="shared" si="100"/>
        <v>0</v>
      </c>
      <c r="N562" s="76">
        <f t="shared" si="101"/>
        <v>0</v>
      </c>
      <c r="O562" s="76">
        <f t="shared" si="102"/>
        <v>0</v>
      </c>
      <c r="P562" s="76">
        <f t="shared" si="109"/>
        <v>94193.249999999898</v>
      </c>
      <c r="Q562" s="78">
        <v>512</v>
      </c>
      <c r="R562" s="77">
        <f>IFERROR(EOMONTH(DATE($F$10,$F$9,1),512-1),"")</f>
        <v>60510</v>
      </c>
      <c r="S562" s="76">
        <f t="shared" si="110"/>
        <v>0</v>
      </c>
      <c r="T562" s="76">
        <f t="shared" si="103"/>
        <v>0</v>
      </c>
      <c r="U562" s="76">
        <f t="shared" si="104"/>
        <v>0</v>
      </c>
      <c r="V562" s="76">
        <f t="shared" si="105"/>
        <v>0</v>
      </c>
      <c r="W562" s="76">
        <f t="shared" si="106"/>
        <v>0</v>
      </c>
      <c r="X562" s="76">
        <f t="shared" si="107"/>
        <v>0</v>
      </c>
      <c r="Y562" s="76">
        <f t="shared" si="111"/>
        <v>173145.40000000002</v>
      </c>
    </row>
    <row r="563" spans="8:25">
      <c r="H563" s="84">
        <v>513</v>
      </c>
      <c r="I563" s="83">
        <f>IFERROR(EOMONTH(DATE($C$10,$C$9,1),513-1),"")</f>
        <v>60540</v>
      </c>
      <c r="J563" s="82">
        <f t="shared" si="108"/>
        <v>0</v>
      </c>
      <c r="K563" s="82">
        <f t="shared" ref="K563:K626" si="112">IF(J563&lt;=0,0,ROUND(J563*$C$7/12,2))</f>
        <v>0</v>
      </c>
      <c r="L563" s="82">
        <f t="shared" ref="L563:L626" si="113">IF(J563&lt;=0,0,IF(UPPER(TRIM($C$11))="INTEREST ONLY",0,MAX(0,MIN(J563,$C$17-K563))))</f>
        <v>0</v>
      </c>
      <c r="M563" s="82">
        <f t="shared" ref="M563:M626" si="114">IF(J563&lt;=0,0,MIN(J563-L563,$C$12+IF(H563=$C$14,$C$13,0)))</f>
        <v>0</v>
      </c>
      <c r="N563" s="82">
        <f t="shared" ref="N563:N626" si="115">K563+L563+M563</f>
        <v>0</v>
      </c>
      <c r="O563" s="82">
        <f t="shared" ref="O563:O626" si="116">MAX(0,J563-L563-M563)</f>
        <v>0</v>
      </c>
      <c r="P563" s="82">
        <f t="shared" si="109"/>
        <v>94193.249999999898</v>
      </c>
      <c r="Q563" s="81">
        <v>513</v>
      </c>
      <c r="R563" s="80">
        <f>IFERROR(EOMONTH(DATE($F$10,$F$9,1),513-1),"")</f>
        <v>60540</v>
      </c>
      <c r="S563" s="79">
        <f t="shared" si="110"/>
        <v>0</v>
      </c>
      <c r="T563" s="79">
        <f t="shared" ref="T563:T626" si="117">IF(S563&lt;=0,0,ROUND(S563*$F$7/12,2))</f>
        <v>0</v>
      </c>
      <c r="U563" s="79">
        <f t="shared" ref="U563:U626" si="118">IF(S563&lt;=0,0,IF(UPPER(TRIM($F$11))="INTEREST ONLY",0,MAX(0,MIN(S563,$F$17-T563))))</f>
        <v>0</v>
      </c>
      <c r="V563" s="79">
        <f t="shared" ref="V563:V626" si="119">IF(S563&lt;=0,0,MIN(S563-U563,$F$12+IF(Q563=$F$14,$F$13,0)))</f>
        <v>0</v>
      </c>
      <c r="W563" s="79">
        <f t="shared" ref="W563:W626" si="120">T563+U563+V563</f>
        <v>0</v>
      </c>
      <c r="X563" s="79">
        <f t="shared" ref="X563:X626" si="121">MAX(0,S563-U563-V563)</f>
        <v>0</v>
      </c>
      <c r="Y563" s="79">
        <f t="shared" si="111"/>
        <v>173145.40000000002</v>
      </c>
    </row>
    <row r="564" spans="8:25">
      <c r="H564" s="78">
        <v>514</v>
      </c>
      <c r="I564" s="77">
        <f>IFERROR(EOMONTH(DATE($C$10,$C$9,1),514-1),"")</f>
        <v>60571</v>
      </c>
      <c r="J564" s="76">
        <f t="shared" ref="J564:J627" si="122">IF(O563&lt;=0,0,O563)</f>
        <v>0</v>
      </c>
      <c r="K564" s="76">
        <f t="shared" si="112"/>
        <v>0</v>
      </c>
      <c r="L564" s="76">
        <f t="shared" si="113"/>
        <v>0</v>
      </c>
      <c r="M564" s="76">
        <f t="shared" si="114"/>
        <v>0</v>
      </c>
      <c r="N564" s="76">
        <f t="shared" si="115"/>
        <v>0</v>
      </c>
      <c r="O564" s="76">
        <f t="shared" si="116"/>
        <v>0</v>
      </c>
      <c r="P564" s="76">
        <f t="shared" ref="P564:P627" si="123">P563+K564</f>
        <v>94193.249999999898</v>
      </c>
      <c r="Q564" s="78">
        <v>514</v>
      </c>
      <c r="R564" s="77">
        <f>IFERROR(EOMONTH(DATE($F$10,$F$9,1),514-1),"")</f>
        <v>60571</v>
      </c>
      <c r="S564" s="76">
        <f t="shared" ref="S564:S627" si="124">IF(X563&lt;=0,0,X563)</f>
        <v>0</v>
      </c>
      <c r="T564" s="76">
        <f t="shared" si="117"/>
        <v>0</v>
      </c>
      <c r="U564" s="76">
        <f t="shared" si="118"/>
        <v>0</v>
      </c>
      <c r="V564" s="76">
        <f t="shared" si="119"/>
        <v>0</v>
      </c>
      <c r="W564" s="76">
        <f t="shared" si="120"/>
        <v>0</v>
      </c>
      <c r="X564" s="76">
        <f t="shared" si="121"/>
        <v>0</v>
      </c>
      <c r="Y564" s="76">
        <f t="shared" ref="Y564:Y627" si="125">Y563+T564</f>
        <v>173145.40000000002</v>
      </c>
    </row>
    <row r="565" spans="8:25">
      <c r="H565" s="84">
        <v>515</v>
      </c>
      <c r="I565" s="83">
        <f>IFERROR(EOMONTH(DATE($C$10,$C$9,1),515-1),"")</f>
        <v>60601</v>
      </c>
      <c r="J565" s="82">
        <f t="shared" si="122"/>
        <v>0</v>
      </c>
      <c r="K565" s="82">
        <f t="shared" si="112"/>
        <v>0</v>
      </c>
      <c r="L565" s="82">
        <f t="shared" si="113"/>
        <v>0</v>
      </c>
      <c r="M565" s="82">
        <f t="shared" si="114"/>
        <v>0</v>
      </c>
      <c r="N565" s="82">
        <f t="shared" si="115"/>
        <v>0</v>
      </c>
      <c r="O565" s="82">
        <f t="shared" si="116"/>
        <v>0</v>
      </c>
      <c r="P565" s="82">
        <f t="shared" si="123"/>
        <v>94193.249999999898</v>
      </c>
      <c r="Q565" s="81">
        <v>515</v>
      </c>
      <c r="R565" s="80">
        <f>IFERROR(EOMONTH(DATE($F$10,$F$9,1),515-1),"")</f>
        <v>60601</v>
      </c>
      <c r="S565" s="79">
        <f t="shared" si="124"/>
        <v>0</v>
      </c>
      <c r="T565" s="79">
        <f t="shared" si="117"/>
        <v>0</v>
      </c>
      <c r="U565" s="79">
        <f t="shared" si="118"/>
        <v>0</v>
      </c>
      <c r="V565" s="79">
        <f t="shared" si="119"/>
        <v>0</v>
      </c>
      <c r="W565" s="79">
        <f t="shared" si="120"/>
        <v>0</v>
      </c>
      <c r="X565" s="79">
        <f t="shared" si="121"/>
        <v>0</v>
      </c>
      <c r="Y565" s="79">
        <f t="shared" si="125"/>
        <v>173145.40000000002</v>
      </c>
    </row>
    <row r="566" spans="8:25">
      <c r="H566" s="78">
        <v>516</v>
      </c>
      <c r="I566" s="77">
        <f>IFERROR(EOMONTH(DATE($C$10,$C$9,1),516-1),"")</f>
        <v>60632</v>
      </c>
      <c r="J566" s="76">
        <f t="shared" si="122"/>
        <v>0</v>
      </c>
      <c r="K566" s="76">
        <f t="shared" si="112"/>
        <v>0</v>
      </c>
      <c r="L566" s="76">
        <f t="shared" si="113"/>
        <v>0</v>
      </c>
      <c r="M566" s="76">
        <f t="shared" si="114"/>
        <v>0</v>
      </c>
      <c r="N566" s="76">
        <f t="shared" si="115"/>
        <v>0</v>
      </c>
      <c r="O566" s="76">
        <f t="shared" si="116"/>
        <v>0</v>
      </c>
      <c r="P566" s="76">
        <f t="shared" si="123"/>
        <v>94193.249999999898</v>
      </c>
      <c r="Q566" s="78">
        <v>516</v>
      </c>
      <c r="R566" s="77">
        <f>IFERROR(EOMONTH(DATE($F$10,$F$9,1),516-1),"")</f>
        <v>60632</v>
      </c>
      <c r="S566" s="76">
        <f t="shared" si="124"/>
        <v>0</v>
      </c>
      <c r="T566" s="76">
        <f t="shared" si="117"/>
        <v>0</v>
      </c>
      <c r="U566" s="76">
        <f t="shared" si="118"/>
        <v>0</v>
      </c>
      <c r="V566" s="76">
        <f t="shared" si="119"/>
        <v>0</v>
      </c>
      <c r="W566" s="76">
        <f t="shared" si="120"/>
        <v>0</v>
      </c>
      <c r="X566" s="76">
        <f t="shared" si="121"/>
        <v>0</v>
      </c>
      <c r="Y566" s="76">
        <f t="shared" si="125"/>
        <v>173145.40000000002</v>
      </c>
    </row>
    <row r="567" spans="8:25">
      <c r="H567" s="84">
        <v>517</v>
      </c>
      <c r="I567" s="83">
        <f>IFERROR(EOMONTH(DATE($C$10,$C$9,1),517-1),"")</f>
        <v>60663</v>
      </c>
      <c r="J567" s="82">
        <f t="shared" si="122"/>
        <v>0</v>
      </c>
      <c r="K567" s="82">
        <f t="shared" si="112"/>
        <v>0</v>
      </c>
      <c r="L567" s="82">
        <f t="shared" si="113"/>
        <v>0</v>
      </c>
      <c r="M567" s="82">
        <f t="shared" si="114"/>
        <v>0</v>
      </c>
      <c r="N567" s="82">
        <f t="shared" si="115"/>
        <v>0</v>
      </c>
      <c r="O567" s="82">
        <f t="shared" si="116"/>
        <v>0</v>
      </c>
      <c r="P567" s="82">
        <f t="shared" si="123"/>
        <v>94193.249999999898</v>
      </c>
      <c r="Q567" s="81">
        <v>517</v>
      </c>
      <c r="R567" s="80">
        <f>IFERROR(EOMONTH(DATE($F$10,$F$9,1),517-1),"")</f>
        <v>60663</v>
      </c>
      <c r="S567" s="79">
        <f t="shared" si="124"/>
        <v>0</v>
      </c>
      <c r="T567" s="79">
        <f t="shared" si="117"/>
        <v>0</v>
      </c>
      <c r="U567" s="79">
        <f t="shared" si="118"/>
        <v>0</v>
      </c>
      <c r="V567" s="79">
        <f t="shared" si="119"/>
        <v>0</v>
      </c>
      <c r="W567" s="79">
        <f t="shared" si="120"/>
        <v>0</v>
      </c>
      <c r="X567" s="79">
        <f t="shared" si="121"/>
        <v>0</v>
      </c>
      <c r="Y567" s="79">
        <f t="shared" si="125"/>
        <v>173145.40000000002</v>
      </c>
    </row>
    <row r="568" spans="8:25">
      <c r="H568" s="78">
        <v>518</v>
      </c>
      <c r="I568" s="77">
        <f>IFERROR(EOMONTH(DATE($C$10,$C$9,1),518-1),"")</f>
        <v>60691</v>
      </c>
      <c r="J568" s="76">
        <f t="shared" si="122"/>
        <v>0</v>
      </c>
      <c r="K568" s="76">
        <f t="shared" si="112"/>
        <v>0</v>
      </c>
      <c r="L568" s="76">
        <f t="shared" si="113"/>
        <v>0</v>
      </c>
      <c r="M568" s="76">
        <f t="shared" si="114"/>
        <v>0</v>
      </c>
      <c r="N568" s="76">
        <f t="shared" si="115"/>
        <v>0</v>
      </c>
      <c r="O568" s="76">
        <f t="shared" si="116"/>
        <v>0</v>
      </c>
      <c r="P568" s="76">
        <f t="shared" si="123"/>
        <v>94193.249999999898</v>
      </c>
      <c r="Q568" s="78">
        <v>518</v>
      </c>
      <c r="R568" s="77">
        <f>IFERROR(EOMONTH(DATE($F$10,$F$9,1),518-1),"")</f>
        <v>60691</v>
      </c>
      <c r="S568" s="76">
        <f t="shared" si="124"/>
        <v>0</v>
      </c>
      <c r="T568" s="76">
        <f t="shared" si="117"/>
        <v>0</v>
      </c>
      <c r="U568" s="76">
        <f t="shared" si="118"/>
        <v>0</v>
      </c>
      <c r="V568" s="76">
        <f t="shared" si="119"/>
        <v>0</v>
      </c>
      <c r="W568" s="76">
        <f t="shared" si="120"/>
        <v>0</v>
      </c>
      <c r="X568" s="76">
        <f t="shared" si="121"/>
        <v>0</v>
      </c>
      <c r="Y568" s="76">
        <f t="shared" si="125"/>
        <v>173145.40000000002</v>
      </c>
    </row>
    <row r="569" spans="8:25">
      <c r="H569" s="84">
        <v>519</v>
      </c>
      <c r="I569" s="83">
        <f>IFERROR(EOMONTH(DATE($C$10,$C$9,1),519-1),"")</f>
        <v>60722</v>
      </c>
      <c r="J569" s="82">
        <f t="shared" si="122"/>
        <v>0</v>
      </c>
      <c r="K569" s="82">
        <f t="shared" si="112"/>
        <v>0</v>
      </c>
      <c r="L569" s="82">
        <f t="shared" si="113"/>
        <v>0</v>
      </c>
      <c r="M569" s="82">
        <f t="shared" si="114"/>
        <v>0</v>
      </c>
      <c r="N569" s="82">
        <f t="shared" si="115"/>
        <v>0</v>
      </c>
      <c r="O569" s="82">
        <f t="shared" si="116"/>
        <v>0</v>
      </c>
      <c r="P569" s="82">
        <f t="shared" si="123"/>
        <v>94193.249999999898</v>
      </c>
      <c r="Q569" s="81">
        <v>519</v>
      </c>
      <c r="R569" s="80">
        <f>IFERROR(EOMONTH(DATE($F$10,$F$9,1),519-1),"")</f>
        <v>60722</v>
      </c>
      <c r="S569" s="79">
        <f t="shared" si="124"/>
        <v>0</v>
      </c>
      <c r="T569" s="79">
        <f t="shared" si="117"/>
        <v>0</v>
      </c>
      <c r="U569" s="79">
        <f t="shared" si="118"/>
        <v>0</v>
      </c>
      <c r="V569" s="79">
        <f t="shared" si="119"/>
        <v>0</v>
      </c>
      <c r="W569" s="79">
        <f t="shared" si="120"/>
        <v>0</v>
      </c>
      <c r="X569" s="79">
        <f t="shared" si="121"/>
        <v>0</v>
      </c>
      <c r="Y569" s="79">
        <f t="shared" si="125"/>
        <v>173145.40000000002</v>
      </c>
    </row>
    <row r="570" spans="8:25">
      <c r="H570" s="78">
        <v>520</v>
      </c>
      <c r="I570" s="77">
        <f>IFERROR(EOMONTH(DATE($C$10,$C$9,1),520-1),"")</f>
        <v>60752</v>
      </c>
      <c r="J570" s="76">
        <f t="shared" si="122"/>
        <v>0</v>
      </c>
      <c r="K570" s="76">
        <f t="shared" si="112"/>
        <v>0</v>
      </c>
      <c r="L570" s="76">
        <f t="shared" si="113"/>
        <v>0</v>
      </c>
      <c r="M570" s="76">
        <f t="shared" si="114"/>
        <v>0</v>
      </c>
      <c r="N570" s="76">
        <f t="shared" si="115"/>
        <v>0</v>
      </c>
      <c r="O570" s="76">
        <f t="shared" si="116"/>
        <v>0</v>
      </c>
      <c r="P570" s="76">
        <f t="shared" si="123"/>
        <v>94193.249999999898</v>
      </c>
      <c r="Q570" s="78">
        <v>520</v>
      </c>
      <c r="R570" s="77">
        <f>IFERROR(EOMONTH(DATE($F$10,$F$9,1),520-1),"")</f>
        <v>60752</v>
      </c>
      <c r="S570" s="76">
        <f t="shared" si="124"/>
        <v>0</v>
      </c>
      <c r="T570" s="76">
        <f t="shared" si="117"/>
        <v>0</v>
      </c>
      <c r="U570" s="76">
        <f t="shared" si="118"/>
        <v>0</v>
      </c>
      <c r="V570" s="76">
        <f t="shared" si="119"/>
        <v>0</v>
      </c>
      <c r="W570" s="76">
        <f t="shared" si="120"/>
        <v>0</v>
      </c>
      <c r="X570" s="76">
        <f t="shared" si="121"/>
        <v>0</v>
      </c>
      <c r="Y570" s="76">
        <f t="shared" si="125"/>
        <v>173145.40000000002</v>
      </c>
    </row>
    <row r="571" spans="8:25">
      <c r="H571" s="84">
        <v>521</v>
      </c>
      <c r="I571" s="83">
        <f>IFERROR(EOMONTH(DATE($C$10,$C$9,1),521-1),"")</f>
        <v>60783</v>
      </c>
      <c r="J571" s="82">
        <f t="shared" si="122"/>
        <v>0</v>
      </c>
      <c r="K571" s="82">
        <f t="shared" si="112"/>
        <v>0</v>
      </c>
      <c r="L571" s="82">
        <f t="shared" si="113"/>
        <v>0</v>
      </c>
      <c r="M571" s="82">
        <f t="shared" si="114"/>
        <v>0</v>
      </c>
      <c r="N571" s="82">
        <f t="shared" si="115"/>
        <v>0</v>
      </c>
      <c r="O571" s="82">
        <f t="shared" si="116"/>
        <v>0</v>
      </c>
      <c r="P571" s="82">
        <f t="shared" si="123"/>
        <v>94193.249999999898</v>
      </c>
      <c r="Q571" s="81">
        <v>521</v>
      </c>
      <c r="R571" s="80">
        <f>IFERROR(EOMONTH(DATE($F$10,$F$9,1),521-1),"")</f>
        <v>60783</v>
      </c>
      <c r="S571" s="79">
        <f t="shared" si="124"/>
        <v>0</v>
      </c>
      <c r="T571" s="79">
        <f t="shared" si="117"/>
        <v>0</v>
      </c>
      <c r="U571" s="79">
        <f t="shared" si="118"/>
        <v>0</v>
      </c>
      <c r="V571" s="79">
        <f t="shared" si="119"/>
        <v>0</v>
      </c>
      <c r="W571" s="79">
        <f t="shared" si="120"/>
        <v>0</v>
      </c>
      <c r="X571" s="79">
        <f t="shared" si="121"/>
        <v>0</v>
      </c>
      <c r="Y571" s="79">
        <f t="shared" si="125"/>
        <v>173145.40000000002</v>
      </c>
    </row>
    <row r="572" spans="8:25">
      <c r="H572" s="78">
        <v>522</v>
      </c>
      <c r="I572" s="77">
        <f>IFERROR(EOMONTH(DATE($C$10,$C$9,1),522-1),"")</f>
        <v>60813</v>
      </c>
      <c r="J572" s="76">
        <f t="shared" si="122"/>
        <v>0</v>
      </c>
      <c r="K572" s="76">
        <f t="shared" si="112"/>
        <v>0</v>
      </c>
      <c r="L572" s="76">
        <f t="shared" si="113"/>
        <v>0</v>
      </c>
      <c r="M572" s="76">
        <f t="shared" si="114"/>
        <v>0</v>
      </c>
      <c r="N572" s="76">
        <f t="shared" si="115"/>
        <v>0</v>
      </c>
      <c r="O572" s="76">
        <f t="shared" si="116"/>
        <v>0</v>
      </c>
      <c r="P572" s="76">
        <f t="shared" si="123"/>
        <v>94193.249999999898</v>
      </c>
      <c r="Q572" s="78">
        <v>522</v>
      </c>
      <c r="R572" s="77">
        <f>IFERROR(EOMONTH(DATE($F$10,$F$9,1),522-1),"")</f>
        <v>60813</v>
      </c>
      <c r="S572" s="76">
        <f t="shared" si="124"/>
        <v>0</v>
      </c>
      <c r="T572" s="76">
        <f t="shared" si="117"/>
        <v>0</v>
      </c>
      <c r="U572" s="76">
        <f t="shared" si="118"/>
        <v>0</v>
      </c>
      <c r="V572" s="76">
        <f t="shared" si="119"/>
        <v>0</v>
      </c>
      <c r="W572" s="76">
        <f t="shared" si="120"/>
        <v>0</v>
      </c>
      <c r="X572" s="76">
        <f t="shared" si="121"/>
        <v>0</v>
      </c>
      <c r="Y572" s="76">
        <f t="shared" si="125"/>
        <v>173145.40000000002</v>
      </c>
    </row>
    <row r="573" spans="8:25">
      <c r="H573" s="84">
        <v>523</v>
      </c>
      <c r="I573" s="83">
        <f>IFERROR(EOMONTH(DATE($C$10,$C$9,1),523-1),"")</f>
        <v>60844</v>
      </c>
      <c r="J573" s="82">
        <f t="shared" si="122"/>
        <v>0</v>
      </c>
      <c r="K573" s="82">
        <f t="shared" si="112"/>
        <v>0</v>
      </c>
      <c r="L573" s="82">
        <f t="shared" si="113"/>
        <v>0</v>
      </c>
      <c r="M573" s="82">
        <f t="shared" si="114"/>
        <v>0</v>
      </c>
      <c r="N573" s="82">
        <f t="shared" si="115"/>
        <v>0</v>
      </c>
      <c r="O573" s="82">
        <f t="shared" si="116"/>
        <v>0</v>
      </c>
      <c r="P573" s="82">
        <f t="shared" si="123"/>
        <v>94193.249999999898</v>
      </c>
      <c r="Q573" s="81">
        <v>523</v>
      </c>
      <c r="R573" s="80">
        <f>IFERROR(EOMONTH(DATE($F$10,$F$9,1),523-1),"")</f>
        <v>60844</v>
      </c>
      <c r="S573" s="79">
        <f t="shared" si="124"/>
        <v>0</v>
      </c>
      <c r="T573" s="79">
        <f t="shared" si="117"/>
        <v>0</v>
      </c>
      <c r="U573" s="79">
        <f t="shared" si="118"/>
        <v>0</v>
      </c>
      <c r="V573" s="79">
        <f t="shared" si="119"/>
        <v>0</v>
      </c>
      <c r="W573" s="79">
        <f t="shared" si="120"/>
        <v>0</v>
      </c>
      <c r="X573" s="79">
        <f t="shared" si="121"/>
        <v>0</v>
      </c>
      <c r="Y573" s="79">
        <f t="shared" si="125"/>
        <v>173145.40000000002</v>
      </c>
    </row>
    <row r="574" spans="8:25">
      <c r="H574" s="78">
        <v>524</v>
      </c>
      <c r="I574" s="77">
        <f>IFERROR(EOMONTH(DATE($C$10,$C$9,1),524-1),"")</f>
        <v>60875</v>
      </c>
      <c r="J574" s="76">
        <f t="shared" si="122"/>
        <v>0</v>
      </c>
      <c r="K574" s="76">
        <f t="shared" si="112"/>
        <v>0</v>
      </c>
      <c r="L574" s="76">
        <f t="shared" si="113"/>
        <v>0</v>
      </c>
      <c r="M574" s="76">
        <f t="shared" si="114"/>
        <v>0</v>
      </c>
      <c r="N574" s="76">
        <f t="shared" si="115"/>
        <v>0</v>
      </c>
      <c r="O574" s="76">
        <f t="shared" si="116"/>
        <v>0</v>
      </c>
      <c r="P574" s="76">
        <f t="shared" si="123"/>
        <v>94193.249999999898</v>
      </c>
      <c r="Q574" s="78">
        <v>524</v>
      </c>
      <c r="R574" s="77">
        <f>IFERROR(EOMONTH(DATE($F$10,$F$9,1),524-1),"")</f>
        <v>60875</v>
      </c>
      <c r="S574" s="76">
        <f t="shared" si="124"/>
        <v>0</v>
      </c>
      <c r="T574" s="76">
        <f t="shared" si="117"/>
        <v>0</v>
      </c>
      <c r="U574" s="76">
        <f t="shared" si="118"/>
        <v>0</v>
      </c>
      <c r="V574" s="76">
        <f t="shared" si="119"/>
        <v>0</v>
      </c>
      <c r="W574" s="76">
        <f t="shared" si="120"/>
        <v>0</v>
      </c>
      <c r="X574" s="76">
        <f t="shared" si="121"/>
        <v>0</v>
      </c>
      <c r="Y574" s="76">
        <f t="shared" si="125"/>
        <v>173145.40000000002</v>
      </c>
    </row>
    <row r="575" spans="8:25">
      <c r="H575" s="84">
        <v>525</v>
      </c>
      <c r="I575" s="83">
        <f>IFERROR(EOMONTH(DATE($C$10,$C$9,1),525-1),"")</f>
        <v>60905</v>
      </c>
      <c r="J575" s="82">
        <f t="shared" si="122"/>
        <v>0</v>
      </c>
      <c r="K575" s="82">
        <f t="shared" si="112"/>
        <v>0</v>
      </c>
      <c r="L575" s="82">
        <f t="shared" si="113"/>
        <v>0</v>
      </c>
      <c r="M575" s="82">
        <f t="shared" si="114"/>
        <v>0</v>
      </c>
      <c r="N575" s="82">
        <f t="shared" si="115"/>
        <v>0</v>
      </c>
      <c r="O575" s="82">
        <f t="shared" si="116"/>
        <v>0</v>
      </c>
      <c r="P575" s="82">
        <f t="shared" si="123"/>
        <v>94193.249999999898</v>
      </c>
      <c r="Q575" s="81">
        <v>525</v>
      </c>
      <c r="R575" s="80">
        <f>IFERROR(EOMONTH(DATE($F$10,$F$9,1),525-1),"")</f>
        <v>60905</v>
      </c>
      <c r="S575" s="79">
        <f t="shared" si="124"/>
        <v>0</v>
      </c>
      <c r="T575" s="79">
        <f t="shared" si="117"/>
        <v>0</v>
      </c>
      <c r="U575" s="79">
        <f t="shared" si="118"/>
        <v>0</v>
      </c>
      <c r="V575" s="79">
        <f t="shared" si="119"/>
        <v>0</v>
      </c>
      <c r="W575" s="79">
        <f t="shared" si="120"/>
        <v>0</v>
      </c>
      <c r="X575" s="79">
        <f t="shared" si="121"/>
        <v>0</v>
      </c>
      <c r="Y575" s="79">
        <f t="shared" si="125"/>
        <v>173145.40000000002</v>
      </c>
    </row>
    <row r="576" spans="8:25">
      <c r="H576" s="78">
        <v>526</v>
      </c>
      <c r="I576" s="77">
        <f>IFERROR(EOMONTH(DATE($C$10,$C$9,1),526-1),"")</f>
        <v>60936</v>
      </c>
      <c r="J576" s="76">
        <f t="shared" si="122"/>
        <v>0</v>
      </c>
      <c r="K576" s="76">
        <f t="shared" si="112"/>
        <v>0</v>
      </c>
      <c r="L576" s="76">
        <f t="shared" si="113"/>
        <v>0</v>
      </c>
      <c r="M576" s="76">
        <f t="shared" si="114"/>
        <v>0</v>
      </c>
      <c r="N576" s="76">
        <f t="shared" si="115"/>
        <v>0</v>
      </c>
      <c r="O576" s="76">
        <f t="shared" si="116"/>
        <v>0</v>
      </c>
      <c r="P576" s="76">
        <f t="shared" si="123"/>
        <v>94193.249999999898</v>
      </c>
      <c r="Q576" s="78">
        <v>526</v>
      </c>
      <c r="R576" s="77">
        <f>IFERROR(EOMONTH(DATE($F$10,$F$9,1),526-1),"")</f>
        <v>60936</v>
      </c>
      <c r="S576" s="76">
        <f t="shared" si="124"/>
        <v>0</v>
      </c>
      <c r="T576" s="76">
        <f t="shared" si="117"/>
        <v>0</v>
      </c>
      <c r="U576" s="76">
        <f t="shared" si="118"/>
        <v>0</v>
      </c>
      <c r="V576" s="76">
        <f t="shared" si="119"/>
        <v>0</v>
      </c>
      <c r="W576" s="76">
        <f t="shared" si="120"/>
        <v>0</v>
      </c>
      <c r="X576" s="76">
        <f t="shared" si="121"/>
        <v>0</v>
      </c>
      <c r="Y576" s="76">
        <f t="shared" si="125"/>
        <v>173145.40000000002</v>
      </c>
    </row>
    <row r="577" spans="8:25">
      <c r="H577" s="84">
        <v>527</v>
      </c>
      <c r="I577" s="83">
        <f>IFERROR(EOMONTH(DATE($C$10,$C$9,1),527-1),"")</f>
        <v>60966</v>
      </c>
      <c r="J577" s="82">
        <f t="shared" si="122"/>
        <v>0</v>
      </c>
      <c r="K577" s="82">
        <f t="shared" si="112"/>
        <v>0</v>
      </c>
      <c r="L577" s="82">
        <f t="shared" si="113"/>
        <v>0</v>
      </c>
      <c r="M577" s="82">
        <f t="shared" si="114"/>
        <v>0</v>
      </c>
      <c r="N577" s="82">
        <f t="shared" si="115"/>
        <v>0</v>
      </c>
      <c r="O577" s="82">
        <f t="shared" si="116"/>
        <v>0</v>
      </c>
      <c r="P577" s="82">
        <f t="shared" si="123"/>
        <v>94193.249999999898</v>
      </c>
      <c r="Q577" s="81">
        <v>527</v>
      </c>
      <c r="R577" s="80">
        <f>IFERROR(EOMONTH(DATE($F$10,$F$9,1),527-1),"")</f>
        <v>60966</v>
      </c>
      <c r="S577" s="79">
        <f t="shared" si="124"/>
        <v>0</v>
      </c>
      <c r="T577" s="79">
        <f t="shared" si="117"/>
        <v>0</v>
      </c>
      <c r="U577" s="79">
        <f t="shared" si="118"/>
        <v>0</v>
      </c>
      <c r="V577" s="79">
        <f t="shared" si="119"/>
        <v>0</v>
      </c>
      <c r="W577" s="79">
        <f t="shared" si="120"/>
        <v>0</v>
      </c>
      <c r="X577" s="79">
        <f t="shared" si="121"/>
        <v>0</v>
      </c>
      <c r="Y577" s="79">
        <f t="shared" si="125"/>
        <v>173145.40000000002</v>
      </c>
    </row>
    <row r="578" spans="8:25">
      <c r="H578" s="78">
        <v>528</v>
      </c>
      <c r="I578" s="77">
        <f>IFERROR(EOMONTH(DATE($C$10,$C$9,1),528-1),"")</f>
        <v>60997</v>
      </c>
      <c r="J578" s="76">
        <f t="shared" si="122"/>
        <v>0</v>
      </c>
      <c r="K578" s="76">
        <f t="shared" si="112"/>
        <v>0</v>
      </c>
      <c r="L578" s="76">
        <f t="shared" si="113"/>
        <v>0</v>
      </c>
      <c r="M578" s="76">
        <f t="shared" si="114"/>
        <v>0</v>
      </c>
      <c r="N578" s="76">
        <f t="shared" si="115"/>
        <v>0</v>
      </c>
      <c r="O578" s="76">
        <f t="shared" si="116"/>
        <v>0</v>
      </c>
      <c r="P578" s="76">
        <f t="shared" si="123"/>
        <v>94193.249999999898</v>
      </c>
      <c r="Q578" s="78">
        <v>528</v>
      </c>
      <c r="R578" s="77">
        <f>IFERROR(EOMONTH(DATE($F$10,$F$9,1),528-1),"")</f>
        <v>60997</v>
      </c>
      <c r="S578" s="76">
        <f t="shared" si="124"/>
        <v>0</v>
      </c>
      <c r="T578" s="76">
        <f t="shared" si="117"/>
        <v>0</v>
      </c>
      <c r="U578" s="76">
        <f t="shared" si="118"/>
        <v>0</v>
      </c>
      <c r="V578" s="76">
        <f t="shared" si="119"/>
        <v>0</v>
      </c>
      <c r="W578" s="76">
        <f t="shared" si="120"/>
        <v>0</v>
      </c>
      <c r="X578" s="76">
        <f t="shared" si="121"/>
        <v>0</v>
      </c>
      <c r="Y578" s="76">
        <f t="shared" si="125"/>
        <v>173145.40000000002</v>
      </c>
    </row>
    <row r="579" spans="8:25">
      <c r="H579" s="84">
        <v>529</v>
      </c>
      <c r="I579" s="83">
        <f>IFERROR(EOMONTH(DATE($C$10,$C$9,1),529-1),"")</f>
        <v>61028</v>
      </c>
      <c r="J579" s="82">
        <f t="shared" si="122"/>
        <v>0</v>
      </c>
      <c r="K579" s="82">
        <f t="shared" si="112"/>
        <v>0</v>
      </c>
      <c r="L579" s="82">
        <f t="shared" si="113"/>
        <v>0</v>
      </c>
      <c r="M579" s="82">
        <f t="shared" si="114"/>
        <v>0</v>
      </c>
      <c r="N579" s="82">
        <f t="shared" si="115"/>
        <v>0</v>
      </c>
      <c r="O579" s="82">
        <f t="shared" si="116"/>
        <v>0</v>
      </c>
      <c r="P579" s="82">
        <f t="shared" si="123"/>
        <v>94193.249999999898</v>
      </c>
      <c r="Q579" s="81">
        <v>529</v>
      </c>
      <c r="R579" s="80">
        <f>IFERROR(EOMONTH(DATE($F$10,$F$9,1),529-1),"")</f>
        <v>61028</v>
      </c>
      <c r="S579" s="79">
        <f t="shared" si="124"/>
        <v>0</v>
      </c>
      <c r="T579" s="79">
        <f t="shared" si="117"/>
        <v>0</v>
      </c>
      <c r="U579" s="79">
        <f t="shared" si="118"/>
        <v>0</v>
      </c>
      <c r="V579" s="79">
        <f t="shared" si="119"/>
        <v>0</v>
      </c>
      <c r="W579" s="79">
        <f t="shared" si="120"/>
        <v>0</v>
      </c>
      <c r="X579" s="79">
        <f t="shared" si="121"/>
        <v>0</v>
      </c>
      <c r="Y579" s="79">
        <f t="shared" si="125"/>
        <v>173145.40000000002</v>
      </c>
    </row>
    <row r="580" spans="8:25">
      <c r="H580" s="78">
        <v>530</v>
      </c>
      <c r="I580" s="77">
        <f>IFERROR(EOMONTH(DATE($C$10,$C$9,1),530-1),"")</f>
        <v>61056</v>
      </c>
      <c r="J580" s="76">
        <f t="shared" si="122"/>
        <v>0</v>
      </c>
      <c r="K580" s="76">
        <f t="shared" si="112"/>
        <v>0</v>
      </c>
      <c r="L580" s="76">
        <f t="shared" si="113"/>
        <v>0</v>
      </c>
      <c r="M580" s="76">
        <f t="shared" si="114"/>
        <v>0</v>
      </c>
      <c r="N580" s="76">
        <f t="shared" si="115"/>
        <v>0</v>
      </c>
      <c r="O580" s="76">
        <f t="shared" si="116"/>
        <v>0</v>
      </c>
      <c r="P580" s="76">
        <f t="shared" si="123"/>
        <v>94193.249999999898</v>
      </c>
      <c r="Q580" s="78">
        <v>530</v>
      </c>
      <c r="R580" s="77">
        <f>IFERROR(EOMONTH(DATE($F$10,$F$9,1),530-1),"")</f>
        <v>61056</v>
      </c>
      <c r="S580" s="76">
        <f t="shared" si="124"/>
        <v>0</v>
      </c>
      <c r="T580" s="76">
        <f t="shared" si="117"/>
        <v>0</v>
      </c>
      <c r="U580" s="76">
        <f t="shared" si="118"/>
        <v>0</v>
      </c>
      <c r="V580" s="76">
        <f t="shared" si="119"/>
        <v>0</v>
      </c>
      <c r="W580" s="76">
        <f t="shared" si="120"/>
        <v>0</v>
      </c>
      <c r="X580" s="76">
        <f t="shared" si="121"/>
        <v>0</v>
      </c>
      <c r="Y580" s="76">
        <f t="shared" si="125"/>
        <v>173145.40000000002</v>
      </c>
    </row>
    <row r="581" spans="8:25">
      <c r="H581" s="84">
        <v>531</v>
      </c>
      <c r="I581" s="83">
        <f>IFERROR(EOMONTH(DATE($C$10,$C$9,1),531-1),"")</f>
        <v>61087</v>
      </c>
      <c r="J581" s="82">
        <f t="shared" si="122"/>
        <v>0</v>
      </c>
      <c r="K581" s="82">
        <f t="shared" si="112"/>
        <v>0</v>
      </c>
      <c r="L581" s="82">
        <f t="shared" si="113"/>
        <v>0</v>
      </c>
      <c r="M581" s="82">
        <f t="shared" si="114"/>
        <v>0</v>
      </c>
      <c r="N581" s="82">
        <f t="shared" si="115"/>
        <v>0</v>
      </c>
      <c r="O581" s="82">
        <f t="shared" si="116"/>
        <v>0</v>
      </c>
      <c r="P581" s="82">
        <f t="shared" si="123"/>
        <v>94193.249999999898</v>
      </c>
      <c r="Q581" s="81">
        <v>531</v>
      </c>
      <c r="R581" s="80">
        <f>IFERROR(EOMONTH(DATE($F$10,$F$9,1),531-1),"")</f>
        <v>61087</v>
      </c>
      <c r="S581" s="79">
        <f t="shared" si="124"/>
        <v>0</v>
      </c>
      <c r="T581" s="79">
        <f t="shared" si="117"/>
        <v>0</v>
      </c>
      <c r="U581" s="79">
        <f t="shared" si="118"/>
        <v>0</v>
      </c>
      <c r="V581" s="79">
        <f t="shared" si="119"/>
        <v>0</v>
      </c>
      <c r="W581" s="79">
        <f t="shared" si="120"/>
        <v>0</v>
      </c>
      <c r="X581" s="79">
        <f t="shared" si="121"/>
        <v>0</v>
      </c>
      <c r="Y581" s="79">
        <f t="shared" si="125"/>
        <v>173145.40000000002</v>
      </c>
    </row>
    <row r="582" spans="8:25">
      <c r="H582" s="78">
        <v>532</v>
      </c>
      <c r="I582" s="77">
        <f>IFERROR(EOMONTH(DATE($C$10,$C$9,1),532-1),"")</f>
        <v>61117</v>
      </c>
      <c r="J582" s="76">
        <f t="shared" si="122"/>
        <v>0</v>
      </c>
      <c r="K582" s="76">
        <f t="shared" si="112"/>
        <v>0</v>
      </c>
      <c r="L582" s="76">
        <f t="shared" si="113"/>
        <v>0</v>
      </c>
      <c r="M582" s="76">
        <f t="shared" si="114"/>
        <v>0</v>
      </c>
      <c r="N582" s="76">
        <f t="shared" si="115"/>
        <v>0</v>
      </c>
      <c r="O582" s="76">
        <f t="shared" si="116"/>
        <v>0</v>
      </c>
      <c r="P582" s="76">
        <f t="shared" si="123"/>
        <v>94193.249999999898</v>
      </c>
      <c r="Q582" s="78">
        <v>532</v>
      </c>
      <c r="R582" s="77">
        <f>IFERROR(EOMONTH(DATE($F$10,$F$9,1),532-1),"")</f>
        <v>61117</v>
      </c>
      <c r="S582" s="76">
        <f t="shared" si="124"/>
        <v>0</v>
      </c>
      <c r="T582" s="76">
        <f t="shared" si="117"/>
        <v>0</v>
      </c>
      <c r="U582" s="76">
        <f t="shared" si="118"/>
        <v>0</v>
      </c>
      <c r="V582" s="76">
        <f t="shared" si="119"/>
        <v>0</v>
      </c>
      <c r="W582" s="76">
        <f t="shared" si="120"/>
        <v>0</v>
      </c>
      <c r="X582" s="76">
        <f t="shared" si="121"/>
        <v>0</v>
      </c>
      <c r="Y582" s="76">
        <f t="shared" si="125"/>
        <v>173145.40000000002</v>
      </c>
    </row>
    <row r="583" spans="8:25">
      <c r="H583" s="84">
        <v>533</v>
      </c>
      <c r="I583" s="83">
        <f>IFERROR(EOMONTH(DATE($C$10,$C$9,1),533-1),"")</f>
        <v>61148</v>
      </c>
      <c r="J583" s="82">
        <f t="shared" si="122"/>
        <v>0</v>
      </c>
      <c r="K583" s="82">
        <f t="shared" si="112"/>
        <v>0</v>
      </c>
      <c r="L583" s="82">
        <f t="shared" si="113"/>
        <v>0</v>
      </c>
      <c r="M583" s="82">
        <f t="shared" si="114"/>
        <v>0</v>
      </c>
      <c r="N583" s="82">
        <f t="shared" si="115"/>
        <v>0</v>
      </c>
      <c r="O583" s="82">
        <f t="shared" si="116"/>
        <v>0</v>
      </c>
      <c r="P583" s="82">
        <f t="shared" si="123"/>
        <v>94193.249999999898</v>
      </c>
      <c r="Q583" s="81">
        <v>533</v>
      </c>
      <c r="R583" s="80">
        <f>IFERROR(EOMONTH(DATE($F$10,$F$9,1),533-1),"")</f>
        <v>61148</v>
      </c>
      <c r="S583" s="79">
        <f t="shared" si="124"/>
        <v>0</v>
      </c>
      <c r="T583" s="79">
        <f t="shared" si="117"/>
        <v>0</v>
      </c>
      <c r="U583" s="79">
        <f t="shared" si="118"/>
        <v>0</v>
      </c>
      <c r="V583" s="79">
        <f t="shared" si="119"/>
        <v>0</v>
      </c>
      <c r="W583" s="79">
        <f t="shared" si="120"/>
        <v>0</v>
      </c>
      <c r="X583" s="79">
        <f t="shared" si="121"/>
        <v>0</v>
      </c>
      <c r="Y583" s="79">
        <f t="shared" si="125"/>
        <v>173145.40000000002</v>
      </c>
    </row>
    <row r="584" spans="8:25">
      <c r="H584" s="78">
        <v>534</v>
      </c>
      <c r="I584" s="77">
        <f>IFERROR(EOMONTH(DATE($C$10,$C$9,1),534-1),"")</f>
        <v>61178</v>
      </c>
      <c r="J584" s="76">
        <f t="shared" si="122"/>
        <v>0</v>
      </c>
      <c r="K584" s="76">
        <f t="shared" si="112"/>
        <v>0</v>
      </c>
      <c r="L584" s="76">
        <f t="shared" si="113"/>
        <v>0</v>
      </c>
      <c r="M584" s="76">
        <f t="shared" si="114"/>
        <v>0</v>
      </c>
      <c r="N584" s="76">
        <f t="shared" si="115"/>
        <v>0</v>
      </c>
      <c r="O584" s="76">
        <f t="shared" si="116"/>
        <v>0</v>
      </c>
      <c r="P584" s="76">
        <f t="shared" si="123"/>
        <v>94193.249999999898</v>
      </c>
      <c r="Q584" s="78">
        <v>534</v>
      </c>
      <c r="R584" s="77">
        <f>IFERROR(EOMONTH(DATE($F$10,$F$9,1),534-1),"")</f>
        <v>61178</v>
      </c>
      <c r="S584" s="76">
        <f t="shared" si="124"/>
        <v>0</v>
      </c>
      <c r="T584" s="76">
        <f t="shared" si="117"/>
        <v>0</v>
      </c>
      <c r="U584" s="76">
        <f t="shared" si="118"/>
        <v>0</v>
      </c>
      <c r="V584" s="76">
        <f t="shared" si="119"/>
        <v>0</v>
      </c>
      <c r="W584" s="76">
        <f t="shared" si="120"/>
        <v>0</v>
      </c>
      <c r="X584" s="76">
        <f t="shared" si="121"/>
        <v>0</v>
      </c>
      <c r="Y584" s="76">
        <f t="shared" si="125"/>
        <v>173145.40000000002</v>
      </c>
    </row>
    <row r="585" spans="8:25">
      <c r="H585" s="84">
        <v>535</v>
      </c>
      <c r="I585" s="83">
        <f>IFERROR(EOMONTH(DATE($C$10,$C$9,1),535-1),"")</f>
        <v>61209</v>
      </c>
      <c r="J585" s="82">
        <f t="shared" si="122"/>
        <v>0</v>
      </c>
      <c r="K585" s="82">
        <f t="shared" si="112"/>
        <v>0</v>
      </c>
      <c r="L585" s="82">
        <f t="shared" si="113"/>
        <v>0</v>
      </c>
      <c r="M585" s="82">
        <f t="shared" si="114"/>
        <v>0</v>
      </c>
      <c r="N585" s="82">
        <f t="shared" si="115"/>
        <v>0</v>
      </c>
      <c r="O585" s="82">
        <f t="shared" si="116"/>
        <v>0</v>
      </c>
      <c r="P585" s="82">
        <f t="shared" si="123"/>
        <v>94193.249999999898</v>
      </c>
      <c r="Q585" s="81">
        <v>535</v>
      </c>
      <c r="R585" s="80">
        <f>IFERROR(EOMONTH(DATE($F$10,$F$9,1),535-1),"")</f>
        <v>61209</v>
      </c>
      <c r="S585" s="79">
        <f t="shared" si="124"/>
        <v>0</v>
      </c>
      <c r="T585" s="79">
        <f t="shared" si="117"/>
        <v>0</v>
      </c>
      <c r="U585" s="79">
        <f t="shared" si="118"/>
        <v>0</v>
      </c>
      <c r="V585" s="79">
        <f t="shared" si="119"/>
        <v>0</v>
      </c>
      <c r="W585" s="79">
        <f t="shared" si="120"/>
        <v>0</v>
      </c>
      <c r="X585" s="79">
        <f t="shared" si="121"/>
        <v>0</v>
      </c>
      <c r="Y585" s="79">
        <f t="shared" si="125"/>
        <v>173145.40000000002</v>
      </c>
    </row>
    <row r="586" spans="8:25">
      <c r="H586" s="78">
        <v>536</v>
      </c>
      <c r="I586" s="77">
        <f>IFERROR(EOMONTH(DATE($C$10,$C$9,1),536-1),"")</f>
        <v>61240</v>
      </c>
      <c r="J586" s="76">
        <f t="shared" si="122"/>
        <v>0</v>
      </c>
      <c r="K586" s="76">
        <f t="shared" si="112"/>
        <v>0</v>
      </c>
      <c r="L586" s="76">
        <f t="shared" si="113"/>
        <v>0</v>
      </c>
      <c r="M586" s="76">
        <f t="shared" si="114"/>
        <v>0</v>
      </c>
      <c r="N586" s="76">
        <f t="shared" si="115"/>
        <v>0</v>
      </c>
      <c r="O586" s="76">
        <f t="shared" si="116"/>
        <v>0</v>
      </c>
      <c r="P586" s="76">
        <f t="shared" si="123"/>
        <v>94193.249999999898</v>
      </c>
      <c r="Q586" s="78">
        <v>536</v>
      </c>
      <c r="R586" s="77">
        <f>IFERROR(EOMONTH(DATE($F$10,$F$9,1),536-1),"")</f>
        <v>61240</v>
      </c>
      <c r="S586" s="76">
        <f t="shared" si="124"/>
        <v>0</v>
      </c>
      <c r="T586" s="76">
        <f t="shared" si="117"/>
        <v>0</v>
      </c>
      <c r="U586" s="76">
        <f t="shared" si="118"/>
        <v>0</v>
      </c>
      <c r="V586" s="76">
        <f t="shared" si="119"/>
        <v>0</v>
      </c>
      <c r="W586" s="76">
        <f t="shared" si="120"/>
        <v>0</v>
      </c>
      <c r="X586" s="76">
        <f t="shared" si="121"/>
        <v>0</v>
      </c>
      <c r="Y586" s="76">
        <f t="shared" si="125"/>
        <v>173145.40000000002</v>
      </c>
    </row>
    <row r="587" spans="8:25">
      <c r="H587" s="84">
        <v>537</v>
      </c>
      <c r="I587" s="83">
        <f>IFERROR(EOMONTH(DATE($C$10,$C$9,1),537-1),"")</f>
        <v>61270</v>
      </c>
      <c r="J587" s="82">
        <f t="shared" si="122"/>
        <v>0</v>
      </c>
      <c r="K587" s="82">
        <f t="shared" si="112"/>
        <v>0</v>
      </c>
      <c r="L587" s="82">
        <f t="shared" si="113"/>
        <v>0</v>
      </c>
      <c r="M587" s="82">
        <f t="shared" si="114"/>
        <v>0</v>
      </c>
      <c r="N587" s="82">
        <f t="shared" si="115"/>
        <v>0</v>
      </c>
      <c r="O587" s="82">
        <f t="shared" si="116"/>
        <v>0</v>
      </c>
      <c r="P587" s="82">
        <f t="shared" si="123"/>
        <v>94193.249999999898</v>
      </c>
      <c r="Q587" s="81">
        <v>537</v>
      </c>
      <c r="R587" s="80">
        <f>IFERROR(EOMONTH(DATE($F$10,$F$9,1),537-1),"")</f>
        <v>61270</v>
      </c>
      <c r="S587" s="79">
        <f t="shared" si="124"/>
        <v>0</v>
      </c>
      <c r="T587" s="79">
        <f t="shared" si="117"/>
        <v>0</v>
      </c>
      <c r="U587" s="79">
        <f t="shared" si="118"/>
        <v>0</v>
      </c>
      <c r="V587" s="79">
        <f t="shared" si="119"/>
        <v>0</v>
      </c>
      <c r="W587" s="79">
        <f t="shared" si="120"/>
        <v>0</v>
      </c>
      <c r="X587" s="79">
        <f t="shared" si="121"/>
        <v>0</v>
      </c>
      <c r="Y587" s="79">
        <f t="shared" si="125"/>
        <v>173145.40000000002</v>
      </c>
    </row>
    <row r="588" spans="8:25">
      <c r="H588" s="78">
        <v>538</v>
      </c>
      <c r="I588" s="77">
        <f>IFERROR(EOMONTH(DATE($C$10,$C$9,1),538-1),"")</f>
        <v>61301</v>
      </c>
      <c r="J588" s="76">
        <f t="shared" si="122"/>
        <v>0</v>
      </c>
      <c r="K588" s="76">
        <f t="shared" si="112"/>
        <v>0</v>
      </c>
      <c r="L588" s="76">
        <f t="shared" si="113"/>
        <v>0</v>
      </c>
      <c r="M588" s="76">
        <f t="shared" si="114"/>
        <v>0</v>
      </c>
      <c r="N588" s="76">
        <f t="shared" si="115"/>
        <v>0</v>
      </c>
      <c r="O588" s="76">
        <f t="shared" si="116"/>
        <v>0</v>
      </c>
      <c r="P588" s="76">
        <f t="shared" si="123"/>
        <v>94193.249999999898</v>
      </c>
      <c r="Q588" s="78">
        <v>538</v>
      </c>
      <c r="R588" s="77">
        <f>IFERROR(EOMONTH(DATE($F$10,$F$9,1),538-1),"")</f>
        <v>61301</v>
      </c>
      <c r="S588" s="76">
        <f t="shared" si="124"/>
        <v>0</v>
      </c>
      <c r="T588" s="76">
        <f t="shared" si="117"/>
        <v>0</v>
      </c>
      <c r="U588" s="76">
        <f t="shared" si="118"/>
        <v>0</v>
      </c>
      <c r="V588" s="76">
        <f t="shared" si="119"/>
        <v>0</v>
      </c>
      <c r="W588" s="76">
        <f t="shared" si="120"/>
        <v>0</v>
      </c>
      <c r="X588" s="76">
        <f t="shared" si="121"/>
        <v>0</v>
      </c>
      <c r="Y588" s="76">
        <f t="shared" si="125"/>
        <v>173145.40000000002</v>
      </c>
    </row>
    <row r="589" spans="8:25">
      <c r="H589" s="84">
        <v>539</v>
      </c>
      <c r="I589" s="83">
        <f>IFERROR(EOMONTH(DATE($C$10,$C$9,1),539-1),"")</f>
        <v>61331</v>
      </c>
      <c r="J589" s="82">
        <f t="shared" si="122"/>
        <v>0</v>
      </c>
      <c r="K589" s="82">
        <f t="shared" si="112"/>
        <v>0</v>
      </c>
      <c r="L589" s="82">
        <f t="shared" si="113"/>
        <v>0</v>
      </c>
      <c r="M589" s="82">
        <f t="shared" si="114"/>
        <v>0</v>
      </c>
      <c r="N589" s="82">
        <f t="shared" si="115"/>
        <v>0</v>
      </c>
      <c r="O589" s="82">
        <f t="shared" si="116"/>
        <v>0</v>
      </c>
      <c r="P589" s="82">
        <f t="shared" si="123"/>
        <v>94193.249999999898</v>
      </c>
      <c r="Q589" s="81">
        <v>539</v>
      </c>
      <c r="R589" s="80">
        <f>IFERROR(EOMONTH(DATE($F$10,$F$9,1),539-1),"")</f>
        <v>61331</v>
      </c>
      <c r="S589" s="79">
        <f t="shared" si="124"/>
        <v>0</v>
      </c>
      <c r="T589" s="79">
        <f t="shared" si="117"/>
        <v>0</v>
      </c>
      <c r="U589" s="79">
        <f t="shared" si="118"/>
        <v>0</v>
      </c>
      <c r="V589" s="79">
        <f t="shared" si="119"/>
        <v>0</v>
      </c>
      <c r="W589" s="79">
        <f t="shared" si="120"/>
        <v>0</v>
      </c>
      <c r="X589" s="79">
        <f t="shared" si="121"/>
        <v>0</v>
      </c>
      <c r="Y589" s="79">
        <f t="shared" si="125"/>
        <v>173145.40000000002</v>
      </c>
    </row>
    <row r="590" spans="8:25">
      <c r="H590" s="78">
        <v>540</v>
      </c>
      <c r="I590" s="77">
        <f>IFERROR(EOMONTH(DATE($C$10,$C$9,1),540-1),"")</f>
        <v>61362</v>
      </c>
      <c r="J590" s="76">
        <f t="shared" si="122"/>
        <v>0</v>
      </c>
      <c r="K590" s="76">
        <f t="shared" si="112"/>
        <v>0</v>
      </c>
      <c r="L590" s="76">
        <f t="shared" si="113"/>
        <v>0</v>
      </c>
      <c r="M590" s="76">
        <f t="shared" si="114"/>
        <v>0</v>
      </c>
      <c r="N590" s="76">
        <f t="shared" si="115"/>
        <v>0</v>
      </c>
      <c r="O590" s="76">
        <f t="shared" si="116"/>
        <v>0</v>
      </c>
      <c r="P590" s="76">
        <f t="shared" si="123"/>
        <v>94193.249999999898</v>
      </c>
      <c r="Q590" s="78">
        <v>540</v>
      </c>
      <c r="R590" s="77">
        <f>IFERROR(EOMONTH(DATE($F$10,$F$9,1),540-1),"")</f>
        <v>61362</v>
      </c>
      <c r="S590" s="76">
        <f t="shared" si="124"/>
        <v>0</v>
      </c>
      <c r="T590" s="76">
        <f t="shared" si="117"/>
        <v>0</v>
      </c>
      <c r="U590" s="76">
        <f t="shared" si="118"/>
        <v>0</v>
      </c>
      <c r="V590" s="76">
        <f t="shared" si="119"/>
        <v>0</v>
      </c>
      <c r="W590" s="76">
        <f t="shared" si="120"/>
        <v>0</v>
      </c>
      <c r="X590" s="76">
        <f t="shared" si="121"/>
        <v>0</v>
      </c>
      <c r="Y590" s="76">
        <f t="shared" si="125"/>
        <v>173145.40000000002</v>
      </c>
    </row>
    <row r="591" spans="8:25">
      <c r="H591" s="84">
        <v>541</v>
      </c>
      <c r="I591" s="83">
        <f>IFERROR(EOMONTH(DATE($C$10,$C$9,1),541-1),"")</f>
        <v>61393</v>
      </c>
      <c r="J591" s="82">
        <f t="shared" si="122"/>
        <v>0</v>
      </c>
      <c r="K591" s="82">
        <f t="shared" si="112"/>
        <v>0</v>
      </c>
      <c r="L591" s="82">
        <f t="shared" si="113"/>
        <v>0</v>
      </c>
      <c r="M591" s="82">
        <f t="shared" si="114"/>
        <v>0</v>
      </c>
      <c r="N591" s="82">
        <f t="shared" si="115"/>
        <v>0</v>
      </c>
      <c r="O591" s="82">
        <f t="shared" si="116"/>
        <v>0</v>
      </c>
      <c r="P591" s="82">
        <f t="shared" si="123"/>
        <v>94193.249999999898</v>
      </c>
      <c r="Q591" s="81">
        <v>541</v>
      </c>
      <c r="R591" s="80">
        <f>IFERROR(EOMONTH(DATE($F$10,$F$9,1),541-1),"")</f>
        <v>61393</v>
      </c>
      <c r="S591" s="79">
        <f t="shared" si="124"/>
        <v>0</v>
      </c>
      <c r="T591" s="79">
        <f t="shared" si="117"/>
        <v>0</v>
      </c>
      <c r="U591" s="79">
        <f t="shared" si="118"/>
        <v>0</v>
      </c>
      <c r="V591" s="79">
        <f t="shared" si="119"/>
        <v>0</v>
      </c>
      <c r="W591" s="79">
        <f t="shared" si="120"/>
        <v>0</v>
      </c>
      <c r="X591" s="79">
        <f t="shared" si="121"/>
        <v>0</v>
      </c>
      <c r="Y591" s="79">
        <f t="shared" si="125"/>
        <v>173145.40000000002</v>
      </c>
    </row>
    <row r="592" spans="8:25">
      <c r="H592" s="78">
        <v>542</v>
      </c>
      <c r="I592" s="77">
        <f>IFERROR(EOMONTH(DATE($C$10,$C$9,1),542-1),"")</f>
        <v>61422</v>
      </c>
      <c r="J592" s="76">
        <f t="shared" si="122"/>
        <v>0</v>
      </c>
      <c r="K592" s="76">
        <f t="shared" si="112"/>
        <v>0</v>
      </c>
      <c r="L592" s="76">
        <f t="shared" si="113"/>
        <v>0</v>
      </c>
      <c r="M592" s="76">
        <f t="shared" si="114"/>
        <v>0</v>
      </c>
      <c r="N592" s="76">
        <f t="shared" si="115"/>
        <v>0</v>
      </c>
      <c r="O592" s="76">
        <f t="shared" si="116"/>
        <v>0</v>
      </c>
      <c r="P592" s="76">
        <f t="shared" si="123"/>
        <v>94193.249999999898</v>
      </c>
      <c r="Q592" s="78">
        <v>542</v>
      </c>
      <c r="R592" s="77">
        <f>IFERROR(EOMONTH(DATE($F$10,$F$9,1),542-1),"")</f>
        <v>61422</v>
      </c>
      <c r="S592" s="76">
        <f t="shared" si="124"/>
        <v>0</v>
      </c>
      <c r="T592" s="76">
        <f t="shared" si="117"/>
        <v>0</v>
      </c>
      <c r="U592" s="76">
        <f t="shared" si="118"/>
        <v>0</v>
      </c>
      <c r="V592" s="76">
        <f t="shared" si="119"/>
        <v>0</v>
      </c>
      <c r="W592" s="76">
        <f t="shared" si="120"/>
        <v>0</v>
      </c>
      <c r="X592" s="76">
        <f t="shared" si="121"/>
        <v>0</v>
      </c>
      <c r="Y592" s="76">
        <f t="shared" si="125"/>
        <v>173145.40000000002</v>
      </c>
    </row>
    <row r="593" spans="8:25">
      <c r="H593" s="84">
        <v>543</v>
      </c>
      <c r="I593" s="83">
        <f>IFERROR(EOMONTH(DATE($C$10,$C$9,1),543-1),"")</f>
        <v>61453</v>
      </c>
      <c r="J593" s="82">
        <f t="shared" si="122"/>
        <v>0</v>
      </c>
      <c r="K593" s="82">
        <f t="shared" si="112"/>
        <v>0</v>
      </c>
      <c r="L593" s="82">
        <f t="shared" si="113"/>
        <v>0</v>
      </c>
      <c r="M593" s="82">
        <f t="shared" si="114"/>
        <v>0</v>
      </c>
      <c r="N593" s="82">
        <f t="shared" si="115"/>
        <v>0</v>
      </c>
      <c r="O593" s="82">
        <f t="shared" si="116"/>
        <v>0</v>
      </c>
      <c r="P593" s="82">
        <f t="shared" si="123"/>
        <v>94193.249999999898</v>
      </c>
      <c r="Q593" s="81">
        <v>543</v>
      </c>
      <c r="R593" s="80">
        <f>IFERROR(EOMONTH(DATE($F$10,$F$9,1),543-1),"")</f>
        <v>61453</v>
      </c>
      <c r="S593" s="79">
        <f t="shared" si="124"/>
        <v>0</v>
      </c>
      <c r="T593" s="79">
        <f t="shared" si="117"/>
        <v>0</v>
      </c>
      <c r="U593" s="79">
        <f t="shared" si="118"/>
        <v>0</v>
      </c>
      <c r="V593" s="79">
        <f t="shared" si="119"/>
        <v>0</v>
      </c>
      <c r="W593" s="79">
        <f t="shared" si="120"/>
        <v>0</v>
      </c>
      <c r="X593" s="79">
        <f t="shared" si="121"/>
        <v>0</v>
      </c>
      <c r="Y593" s="79">
        <f t="shared" si="125"/>
        <v>173145.40000000002</v>
      </c>
    </row>
    <row r="594" spans="8:25">
      <c r="H594" s="78">
        <v>544</v>
      </c>
      <c r="I594" s="77">
        <f>IFERROR(EOMONTH(DATE($C$10,$C$9,1),544-1),"")</f>
        <v>61483</v>
      </c>
      <c r="J594" s="76">
        <f t="shared" si="122"/>
        <v>0</v>
      </c>
      <c r="K594" s="76">
        <f t="shared" si="112"/>
        <v>0</v>
      </c>
      <c r="L594" s="76">
        <f t="shared" si="113"/>
        <v>0</v>
      </c>
      <c r="M594" s="76">
        <f t="shared" si="114"/>
        <v>0</v>
      </c>
      <c r="N594" s="76">
        <f t="shared" si="115"/>
        <v>0</v>
      </c>
      <c r="O594" s="76">
        <f t="shared" si="116"/>
        <v>0</v>
      </c>
      <c r="P594" s="76">
        <f t="shared" si="123"/>
        <v>94193.249999999898</v>
      </c>
      <c r="Q594" s="78">
        <v>544</v>
      </c>
      <c r="R594" s="77">
        <f>IFERROR(EOMONTH(DATE($F$10,$F$9,1),544-1),"")</f>
        <v>61483</v>
      </c>
      <c r="S594" s="76">
        <f t="shared" si="124"/>
        <v>0</v>
      </c>
      <c r="T594" s="76">
        <f t="shared" si="117"/>
        <v>0</v>
      </c>
      <c r="U594" s="76">
        <f t="shared" si="118"/>
        <v>0</v>
      </c>
      <c r="V594" s="76">
        <f t="shared" si="119"/>
        <v>0</v>
      </c>
      <c r="W594" s="76">
        <f t="shared" si="120"/>
        <v>0</v>
      </c>
      <c r="X594" s="76">
        <f t="shared" si="121"/>
        <v>0</v>
      </c>
      <c r="Y594" s="76">
        <f t="shared" si="125"/>
        <v>173145.40000000002</v>
      </c>
    </row>
    <row r="595" spans="8:25">
      <c r="H595" s="84">
        <v>545</v>
      </c>
      <c r="I595" s="83">
        <f>IFERROR(EOMONTH(DATE($C$10,$C$9,1),545-1),"")</f>
        <v>61514</v>
      </c>
      <c r="J595" s="82">
        <f t="shared" si="122"/>
        <v>0</v>
      </c>
      <c r="K595" s="82">
        <f t="shared" si="112"/>
        <v>0</v>
      </c>
      <c r="L595" s="82">
        <f t="shared" si="113"/>
        <v>0</v>
      </c>
      <c r="M595" s="82">
        <f t="shared" si="114"/>
        <v>0</v>
      </c>
      <c r="N595" s="82">
        <f t="shared" si="115"/>
        <v>0</v>
      </c>
      <c r="O595" s="82">
        <f t="shared" si="116"/>
        <v>0</v>
      </c>
      <c r="P595" s="82">
        <f t="shared" si="123"/>
        <v>94193.249999999898</v>
      </c>
      <c r="Q595" s="81">
        <v>545</v>
      </c>
      <c r="R595" s="80">
        <f>IFERROR(EOMONTH(DATE($F$10,$F$9,1),545-1),"")</f>
        <v>61514</v>
      </c>
      <c r="S595" s="79">
        <f t="shared" si="124"/>
        <v>0</v>
      </c>
      <c r="T595" s="79">
        <f t="shared" si="117"/>
        <v>0</v>
      </c>
      <c r="U595" s="79">
        <f t="shared" si="118"/>
        <v>0</v>
      </c>
      <c r="V595" s="79">
        <f t="shared" si="119"/>
        <v>0</v>
      </c>
      <c r="W595" s="79">
        <f t="shared" si="120"/>
        <v>0</v>
      </c>
      <c r="X595" s="79">
        <f t="shared" si="121"/>
        <v>0</v>
      </c>
      <c r="Y595" s="79">
        <f t="shared" si="125"/>
        <v>173145.40000000002</v>
      </c>
    </row>
    <row r="596" spans="8:25">
      <c r="H596" s="78">
        <v>546</v>
      </c>
      <c r="I596" s="77">
        <f>IFERROR(EOMONTH(DATE($C$10,$C$9,1),546-1),"")</f>
        <v>61544</v>
      </c>
      <c r="J596" s="76">
        <f t="shared" si="122"/>
        <v>0</v>
      </c>
      <c r="K596" s="76">
        <f t="shared" si="112"/>
        <v>0</v>
      </c>
      <c r="L596" s="76">
        <f t="shared" si="113"/>
        <v>0</v>
      </c>
      <c r="M596" s="76">
        <f t="shared" si="114"/>
        <v>0</v>
      </c>
      <c r="N596" s="76">
        <f t="shared" si="115"/>
        <v>0</v>
      </c>
      <c r="O596" s="76">
        <f t="shared" si="116"/>
        <v>0</v>
      </c>
      <c r="P596" s="76">
        <f t="shared" si="123"/>
        <v>94193.249999999898</v>
      </c>
      <c r="Q596" s="78">
        <v>546</v>
      </c>
      <c r="R596" s="77">
        <f>IFERROR(EOMONTH(DATE($F$10,$F$9,1),546-1),"")</f>
        <v>61544</v>
      </c>
      <c r="S596" s="76">
        <f t="shared" si="124"/>
        <v>0</v>
      </c>
      <c r="T596" s="76">
        <f t="shared" si="117"/>
        <v>0</v>
      </c>
      <c r="U596" s="76">
        <f t="shared" si="118"/>
        <v>0</v>
      </c>
      <c r="V596" s="76">
        <f t="shared" si="119"/>
        <v>0</v>
      </c>
      <c r="W596" s="76">
        <f t="shared" si="120"/>
        <v>0</v>
      </c>
      <c r="X596" s="76">
        <f t="shared" si="121"/>
        <v>0</v>
      </c>
      <c r="Y596" s="76">
        <f t="shared" si="125"/>
        <v>173145.40000000002</v>
      </c>
    </row>
    <row r="597" spans="8:25">
      <c r="H597" s="84">
        <v>547</v>
      </c>
      <c r="I597" s="83">
        <f>IFERROR(EOMONTH(DATE($C$10,$C$9,1),547-1),"")</f>
        <v>61575</v>
      </c>
      <c r="J597" s="82">
        <f t="shared" si="122"/>
        <v>0</v>
      </c>
      <c r="K597" s="82">
        <f t="shared" si="112"/>
        <v>0</v>
      </c>
      <c r="L597" s="82">
        <f t="shared" si="113"/>
        <v>0</v>
      </c>
      <c r="M597" s="82">
        <f t="shared" si="114"/>
        <v>0</v>
      </c>
      <c r="N597" s="82">
        <f t="shared" si="115"/>
        <v>0</v>
      </c>
      <c r="O597" s="82">
        <f t="shared" si="116"/>
        <v>0</v>
      </c>
      <c r="P597" s="82">
        <f t="shared" si="123"/>
        <v>94193.249999999898</v>
      </c>
      <c r="Q597" s="81">
        <v>547</v>
      </c>
      <c r="R597" s="80">
        <f>IFERROR(EOMONTH(DATE($F$10,$F$9,1),547-1),"")</f>
        <v>61575</v>
      </c>
      <c r="S597" s="79">
        <f t="shared" si="124"/>
        <v>0</v>
      </c>
      <c r="T597" s="79">
        <f t="shared" si="117"/>
        <v>0</v>
      </c>
      <c r="U597" s="79">
        <f t="shared" si="118"/>
        <v>0</v>
      </c>
      <c r="V597" s="79">
        <f t="shared" si="119"/>
        <v>0</v>
      </c>
      <c r="W597" s="79">
        <f t="shared" si="120"/>
        <v>0</v>
      </c>
      <c r="X597" s="79">
        <f t="shared" si="121"/>
        <v>0</v>
      </c>
      <c r="Y597" s="79">
        <f t="shared" si="125"/>
        <v>173145.40000000002</v>
      </c>
    </row>
    <row r="598" spans="8:25">
      <c r="H598" s="78">
        <v>548</v>
      </c>
      <c r="I598" s="77">
        <f>IFERROR(EOMONTH(DATE($C$10,$C$9,1),548-1),"")</f>
        <v>61606</v>
      </c>
      <c r="J598" s="76">
        <f t="shared" si="122"/>
        <v>0</v>
      </c>
      <c r="K598" s="76">
        <f t="shared" si="112"/>
        <v>0</v>
      </c>
      <c r="L598" s="76">
        <f t="shared" si="113"/>
        <v>0</v>
      </c>
      <c r="M598" s="76">
        <f t="shared" si="114"/>
        <v>0</v>
      </c>
      <c r="N598" s="76">
        <f t="shared" si="115"/>
        <v>0</v>
      </c>
      <c r="O598" s="76">
        <f t="shared" si="116"/>
        <v>0</v>
      </c>
      <c r="P598" s="76">
        <f t="shared" si="123"/>
        <v>94193.249999999898</v>
      </c>
      <c r="Q598" s="78">
        <v>548</v>
      </c>
      <c r="R598" s="77">
        <f>IFERROR(EOMONTH(DATE($F$10,$F$9,1),548-1),"")</f>
        <v>61606</v>
      </c>
      <c r="S598" s="76">
        <f t="shared" si="124"/>
        <v>0</v>
      </c>
      <c r="T598" s="76">
        <f t="shared" si="117"/>
        <v>0</v>
      </c>
      <c r="U598" s="76">
        <f t="shared" si="118"/>
        <v>0</v>
      </c>
      <c r="V598" s="76">
        <f t="shared" si="119"/>
        <v>0</v>
      </c>
      <c r="W598" s="76">
        <f t="shared" si="120"/>
        <v>0</v>
      </c>
      <c r="X598" s="76">
        <f t="shared" si="121"/>
        <v>0</v>
      </c>
      <c r="Y598" s="76">
        <f t="shared" si="125"/>
        <v>173145.40000000002</v>
      </c>
    </row>
    <row r="599" spans="8:25">
      <c r="H599" s="84">
        <v>549</v>
      </c>
      <c r="I599" s="83">
        <f>IFERROR(EOMONTH(DATE($C$10,$C$9,1),549-1),"")</f>
        <v>61636</v>
      </c>
      <c r="J599" s="82">
        <f t="shared" si="122"/>
        <v>0</v>
      </c>
      <c r="K599" s="82">
        <f t="shared" si="112"/>
        <v>0</v>
      </c>
      <c r="L599" s="82">
        <f t="shared" si="113"/>
        <v>0</v>
      </c>
      <c r="M599" s="82">
        <f t="shared" si="114"/>
        <v>0</v>
      </c>
      <c r="N599" s="82">
        <f t="shared" si="115"/>
        <v>0</v>
      </c>
      <c r="O599" s="82">
        <f t="shared" si="116"/>
        <v>0</v>
      </c>
      <c r="P599" s="82">
        <f t="shared" si="123"/>
        <v>94193.249999999898</v>
      </c>
      <c r="Q599" s="81">
        <v>549</v>
      </c>
      <c r="R599" s="80">
        <f>IFERROR(EOMONTH(DATE($F$10,$F$9,1),549-1),"")</f>
        <v>61636</v>
      </c>
      <c r="S599" s="79">
        <f t="shared" si="124"/>
        <v>0</v>
      </c>
      <c r="T599" s="79">
        <f t="shared" si="117"/>
        <v>0</v>
      </c>
      <c r="U599" s="79">
        <f t="shared" si="118"/>
        <v>0</v>
      </c>
      <c r="V599" s="79">
        <f t="shared" si="119"/>
        <v>0</v>
      </c>
      <c r="W599" s="79">
        <f t="shared" si="120"/>
        <v>0</v>
      </c>
      <c r="X599" s="79">
        <f t="shared" si="121"/>
        <v>0</v>
      </c>
      <c r="Y599" s="79">
        <f t="shared" si="125"/>
        <v>173145.40000000002</v>
      </c>
    </row>
    <row r="600" spans="8:25">
      <c r="H600" s="78">
        <v>550</v>
      </c>
      <c r="I600" s="77">
        <f>IFERROR(EOMONTH(DATE($C$10,$C$9,1),550-1),"")</f>
        <v>61667</v>
      </c>
      <c r="J600" s="76">
        <f t="shared" si="122"/>
        <v>0</v>
      </c>
      <c r="K600" s="76">
        <f t="shared" si="112"/>
        <v>0</v>
      </c>
      <c r="L600" s="76">
        <f t="shared" si="113"/>
        <v>0</v>
      </c>
      <c r="M600" s="76">
        <f t="shared" si="114"/>
        <v>0</v>
      </c>
      <c r="N600" s="76">
        <f t="shared" si="115"/>
        <v>0</v>
      </c>
      <c r="O600" s="76">
        <f t="shared" si="116"/>
        <v>0</v>
      </c>
      <c r="P600" s="76">
        <f t="shared" si="123"/>
        <v>94193.249999999898</v>
      </c>
      <c r="Q600" s="78">
        <v>550</v>
      </c>
      <c r="R600" s="77">
        <f>IFERROR(EOMONTH(DATE($F$10,$F$9,1),550-1),"")</f>
        <v>61667</v>
      </c>
      <c r="S600" s="76">
        <f t="shared" si="124"/>
        <v>0</v>
      </c>
      <c r="T600" s="76">
        <f t="shared" si="117"/>
        <v>0</v>
      </c>
      <c r="U600" s="76">
        <f t="shared" si="118"/>
        <v>0</v>
      </c>
      <c r="V600" s="76">
        <f t="shared" si="119"/>
        <v>0</v>
      </c>
      <c r="W600" s="76">
        <f t="shared" si="120"/>
        <v>0</v>
      </c>
      <c r="X600" s="76">
        <f t="shared" si="121"/>
        <v>0</v>
      </c>
      <c r="Y600" s="76">
        <f t="shared" si="125"/>
        <v>173145.40000000002</v>
      </c>
    </row>
    <row r="601" spans="8:25">
      <c r="H601" s="84">
        <v>551</v>
      </c>
      <c r="I601" s="83">
        <f>IFERROR(EOMONTH(DATE($C$10,$C$9,1),551-1),"")</f>
        <v>61697</v>
      </c>
      <c r="J601" s="82">
        <f t="shared" si="122"/>
        <v>0</v>
      </c>
      <c r="K601" s="82">
        <f t="shared" si="112"/>
        <v>0</v>
      </c>
      <c r="L601" s="82">
        <f t="shared" si="113"/>
        <v>0</v>
      </c>
      <c r="M601" s="82">
        <f t="shared" si="114"/>
        <v>0</v>
      </c>
      <c r="N601" s="82">
        <f t="shared" si="115"/>
        <v>0</v>
      </c>
      <c r="O601" s="82">
        <f t="shared" si="116"/>
        <v>0</v>
      </c>
      <c r="P601" s="82">
        <f t="shared" si="123"/>
        <v>94193.249999999898</v>
      </c>
      <c r="Q601" s="81">
        <v>551</v>
      </c>
      <c r="R601" s="80">
        <f>IFERROR(EOMONTH(DATE($F$10,$F$9,1),551-1),"")</f>
        <v>61697</v>
      </c>
      <c r="S601" s="79">
        <f t="shared" si="124"/>
        <v>0</v>
      </c>
      <c r="T601" s="79">
        <f t="shared" si="117"/>
        <v>0</v>
      </c>
      <c r="U601" s="79">
        <f t="shared" si="118"/>
        <v>0</v>
      </c>
      <c r="V601" s="79">
        <f t="shared" si="119"/>
        <v>0</v>
      </c>
      <c r="W601" s="79">
        <f t="shared" si="120"/>
        <v>0</v>
      </c>
      <c r="X601" s="79">
        <f t="shared" si="121"/>
        <v>0</v>
      </c>
      <c r="Y601" s="79">
        <f t="shared" si="125"/>
        <v>173145.40000000002</v>
      </c>
    </row>
    <row r="602" spans="8:25">
      <c r="H602" s="78">
        <v>552</v>
      </c>
      <c r="I602" s="77">
        <f>IFERROR(EOMONTH(DATE($C$10,$C$9,1),552-1),"")</f>
        <v>61728</v>
      </c>
      <c r="J602" s="76">
        <f t="shared" si="122"/>
        <v>0</v>
      </c>
      <c r="K602" s="76">
        <f t="shared" si="112"/>
        <v>0</v>
      </c>
      <c r="L602" s="76">
        <f t="shared" si="113"/>
        <v>0</v>
      </c>
      <c r="M602" s="76">
        <f t="shared" si="114"/>
        <v>0</v>
      </c>
      <c r="N602" s="76">
        <f t="shared" si="115"/>
        <v>0</v>
      </c>
      <c r="O602" s="76">
        <f t="shared" si="116"/>
        <v>0</v>
      </c>
      <c r="P602" s="76">
        <f t="shared" si="123"/>
        <v>94193.249999999898</v>
      </c>
      <c r="Q602" s="78">
        <v>552</v>
      </c>
      <c r="R602" s="77">
        <f>IFERROR(EOMONTH(DATE($F$10,$F$9,1),552-1),"")</f>
        <v>61728</v>
      </c>
      <c r="S602" s="76">
        <f t="shared" si="124"/>
        <v>0</v>
      </c>
      <c r="T602" s="76">
        <f t="shared" si="117"/>
        <v>0</v>
      </c>
      <c r="U602" s="76">
        <f t="shared" si="118"/>
        <v>0</v>
      </c>
      <c r="V602" s="76">
        <f t="shared" si="119"/>
        <v>0</v>
      </c>
      <c r="W602" s="76">
        <f t="shared" si="120"/>
        <v>0</v>
      </c>
      <c r="X602" s="76">
        <f t="shared" si="121"/>
        <v>0</v>
      </c>
      <c r="Y602" s="76">
        <f t="shared" si="125"/>
        <v>173145.40000000002</v>
      </c>
    </row>
    <row r="603" spans="8:25">
      <c r="H603" s="84">
        <v>553</v>
      </c>
      <c r="I603" s="83">
        <f>IFERROR(EOMONTH(DATE($C$10,$C$9,1),553-1),"")</f>
        <v>61759</v>
      </c>
      <c r="J603" s="82">
        <f t="shared" si="122"/>
        <v>0</v>
      </c>
      <c r="K603" s="82">
        <f t="shared" si="112"/>
        <v>0</v>
      </c>
      <c r="L603" s="82">
        <f t="shared" si="113"/>
        <v>0</v>
      </c>
      <c r="M603" s="82">
        <f t="shared" si="114"/>
        <v>0</v>
      </c>
      <c r="N603" s="82">
        <f t="shared" si="115"/>
        <v>0</v>
      </c>
      <c r="O603" s="82">
        <f t="shared" si="116"/>
        <v>0</v>
      </c>
      <c r="P603" s="82">
        <f t="shared" si="123"/>
        <v>94193.249999999898</v>
      </c>
      <c r="Q603" s="81">
        <v>553</v>
      </c>
      <c r="R603" s="80">
        <f>IFERROR(EOMONTH(DATE($F$10,$F$9,1),553-1),"")</f>
        <v>61759</v>
      </c>
      <c r="S603" s="79">
        <f t="shared" si="124"/>
        <v>0</v>
      </c>
      <c r="T603" s="79">
        <f t="shared" si="117"/>
        <v>0</v>
      </c>
      <c r="U603" s="79">
        <f t="shared" si="118"/>
        <v>0</v>
      </c>
      <c r="V603" s="79">
        <f t="shared" si="119"/>
        <v>0</v>
      </c>
      <c r="W603" s="79">
        <f t="shared" si="120"/>
        <v>0</v>
      </c>
      <c r="X603" s="79">
        <f t="shared" si="121"/>
        <v>0</v>
      </c>
      <c r="Y603" s="79">
        <f t="shared" si="125"/>
        <v>173145.40000000002</v>
      </c>
    </row>
    <row r="604" spans="8:25">
      <c r="H604" s="78">
        <v>554</v>
      </c>
      <c r="I604" s="77">
        <f>IFERROR(EOMONTH(DATE($C$10,$C$9,1),554-1),"")</f>
        <v>61787</v>
      </c>
      <c r="J604" s="76">
        <f t="shared" si="122"/>
        <v>0</v>
      </c>
      <c r="K604" s="76">
        <f t="shared" si="112"/>
        <v>0</v>
      </c>
      <c r="L604" s="76">
        <f t="shared" si="113"/>
        <v>0</v>
      </c>
      <c r="M604" s="76">
        <f t="shared" si="114"/>
        <v>0</v>
      </c>
      <c r="N604" s="76">
        <f t="shared" si="115"/>
        <v>0</v>
      </c>
      <c r="O604" s="76">
        <f t="shared" si="116"/>
        <v>0</v>
      </c>
      <c r="P604" s="76">
        <f t="shared" si="123"/>
        <v>94193.249999999898</v>
      </c>
      <c r="Q604" s="78">
        <v>554</v>
      </c>
      <c r="R604" s="77">
        <f>IFERROR(EOMONTH(DATE($F$10,$F$9,1),554-1),"")</f>
        <v>61787</v>
      </c>
      <c r="S604" s="76">
        <f t="shared" si="124"/>
        <v>0</v>
      </c>
      <c r="T604" s="76">
        <f t="shared" si="117"/>
        <v>0</v>
      </c>
      <c r="U604" s="76">
        <f t="shared" si="118"/>
        <v>0</v>
      </c>
      <c r="V604" s="76">
        <f t="shared" si="119"/>
        <v>0</v>
      </c>
      <c r="W604" s="76">
        <f t="shared" si="120"/>
        <v>0</v>
      </c>
      <c r="X604" s="76">
        <f t="shared" si="121"/>
        <v>0</v>
      </c>
      <c r="Y604" s="76">
        <f t="shared" si="125"/>
        <v>173145.40000000002</v>
      </c>
    </row>
    <row r="605" spans="8:25">
      <c r="H605" s="84">
        <v>555</v>
      </c>
      <c r="I605" s="83">
        <f>IFERROR(EOMONTH(DATE($C$10,$C$9,1),555-1),"")</f>
        <v>61818</v>
      </c>
      <c r="J605" s="82">
        <f t="shared" si="122"/>
        <v>0</v>
      </c>
      <c r="K605" s="82">
        <f t="shared" si="112"/>
        <v>0</v>
      </c>
      <c r="L605" s="82">
        <f t="shared" si="113"/>
        <v>0</v>
      </c>
      <c r="M605" s="82">
        <f t="shared" si="114"/>
        <v>0</v>
      </c>
      <c r="N605" s="82">
        <f t="shared" si="115"/>
        <v>0</v>
      </c>
      <c r="O605" s="82">
        <f t="shared" si="116"/>
        <v>0</v>
      </c>
      <c r="P605" s="82">
        <f t="shared" si="123"/>
        <v>94193.249999999898</v>
      </c>
      <c r="Q605" s="81">
        <v>555</v>
      </c>
      <c r="R605" s="80">
        <f>IFERROR(EOMONTH(DATE($F$10,$F$9,1),555-1),"")</f>
        <v>61818</v>
      </c>
      <c r="S605" s="79">
        <f t="shared" si="124"/>
        <v>0</v>
      </c>
      <c r="T605" s="79">
        <f t="shared" si="117"/>
        <v>0</v>
      </c>
      <c r="U605" s="79">
        <f t="shared" si="118"/>
        <v>0</v>
      </c>
      <c r="V605" s="79">
        <f t="shared" si="119"/>
        <v>0</v>
      </c>
      <c r="W605" s="79">
        <f t="shared" si="120"/>
        <v>0</v>
      </c>
      <c r="X605" s="79">
        <f t="shared" si="121"/>
        <v>0</v>
      </c>
      <c r="Y605" s="79">
        <f t="shared" si="125"/>
        <v>173145.40000000002</v>
      </c>
    </row>
    <row r="606" spans="8:25">
      <c r="H606" s="78">
        <v>556</v>
      </c>
      <c r="I606" s="77">
        <f>IFERROR(EOMONTH(DATE($C$10,$C$9,1),556-1),"")</f>
        <v>61848</v>
      </c>
      <c r="J606" s="76">
        <f t="shared" si="122"/>
        <v>0</v>
      </c>
      <c r="K606" s="76">
        <f t="shared" si="112"/>
        <v>0</v>
      </c>
      <c r="L606" s="76">
        <f t="shared" si="113"/>
        <v>0</v>
      </c>
      <c r="M606" s="76">
        <f t="shared" si="114"/>
        <v>0</v>
      </c>
      <c r="N606" s="76">
        <f t="shared" si="115"/>
        <v>0</v>
      </c>
      <c r="O606" s="76">
        <f t="shared" si="116"/>
        <v>0</v>
      </c>
      <c r="P606" s="76">
        <f t="shared" si="123"/>
        <v>94193.249999999898</v>
      </c>
      <c r="Q606" s="78">
        <v>556</v>
      </c>
      <c r="R606" s="77">
        <f>IFERROR(EOMONTH(DATE($F$10,$F$9,1),556-1),"")</f>
        <v>61848</v>
      </c>
      <c r="S606" s="76">
        <f t="shared" si="124"/>
        <v>0</v>
      </c>
      <c r="T606" s="76">
        <f t="shared" si="117"/>
        <v>0</v>
      </c>
      <c r="U606" s="76">
        <f t="shared" si="118"/>
        <v>0</v>
      </c>
      <c r="V606" s="76">
        <f t="shared" si="119"/>
        <v>0</v>
      </c>
      <c r="W606" s="76">
        <f t="shared" si="120"/>
        <v>0</v>
      </c>
      <c r="X606" s="76">
        <f t="shared" si="121"/>
        <v>0</v>
      </c>
      <c r="Y606" s="76">
        <f t="shared" si="125"/>
        <v>173145.40000000002</v>
      </c>
    </row>
    <row r="607" spans="8:25">
      <c r="H607" s="84">
        <v>557</v>
      </c>
      <c r="I607" s="83">
        <f>IFERROR(EOMONTH(DATE($C$10,$C$9,1),557-1),"")</f>
        <v>61879</v>
      </c>
      <c r="J607" s="82">
        <f t="shared" si="122"/>
        <v>0</v>
      </c>
      <c r="K607" s="82">
        <f t="shared" si="112"/>
        <v>0</v>
      </c>
      <c r="L607" s="82">
        <f t="shared" si="113"/>
        <v>0</v>
      </c>
      <c r="M607" s="82">
        <f t="shared" si="114"/>
        <v>0</v>
      </c>
      <c r="N607" s="82">
        <f t="shared" si="115"/>
        <v>0</v>
      </c>
      <c r="O607" s="82">
        <f t="shared" si="116"/>
        <v>0</v>
      </c>
      <c r="P607" s="82">
        <f t="shared" si="123"/>
        <v>94193.249999999898</v>
      </c>
      <c r="Q607" s="81">
        <v>557</v>
      </c>
      <c r="R607" s="80">
        <f>IFERROR(EOMONTH(DATE($F$10,$F$9,1),557-1),"")</f>
        <v>61879</v>
      </c>
      <c r="S607" s="79">
        <f t="shared" si="124"/>
        <v>0</v>
      </c>
      <c r="T607" s="79">
        <f t="shared" si="117"/>
        <v>0</v>
      </c>
      <c r="U607" s="79">
        <f t="shared" si="118"/>
        <v>0</v>
      </c>
      <c r="V607" s="79">
        <f t="shared" si="119"/>
        <v>0</v>
      </c>
      <c r="W607" s="79">
        <f t="shared" si="120"/>
        <v>0</v>
      </c>
      <c r="X607" s="79">
        <f t="shared" si="121"/>
        <v>0</v>
      </c>
      <c r="Y607" s="79">
        <f t="shared" si="125"/>
        <v>173145.40000000002</v>
      </c>
    </row>
    <row r="608" spans="8:25">
      <c r="H608" s="78">
        <v>558</v>
      </c>
      <c r="I608" s="77">
        <f>IFERROR(EOMONTH(DATE($C$10,$C$9,1),558-1),"")</f>
        <v>61909</v>
      </c>
      <c r="J608" s="76">
        <f t="shared" si="122"/>
        <v>0</v>
      </c>
      <c r="K608" s="76">
        <f t="shared" si="112"/>
        <v>0</v>
      </c>
      <c r="L608" s="76">
        <f t="shared" si="113"/>
        <v>0</v>
      </c>
      <c r="M608" s="76">
        <f t="shared" si="114"/>
        <v>0</v>
      </c>
      <c r="N608" s="76">
        <f t="shared" si="115"/>
        <v>0</v>
      </c>
      <c r="O608" s="76">
        <f t="shared" si="116"/>
        <v>0</v>
      </c>
      <c r="P608" s="76">
        <f t="shared" si="123"/>
        <v>94193.249999999898</v>
      </c>
      <c r="Q608" s="78">
        <v>558</v>
      </c>
      <c r="R608" s="77">
        <f>IFERROR(EOMONTH(DATE($F$10,$F$9,1),558-1),"")</f>
        <v>61909</v>
      </c>
      <c r="S608" s="76">
        <f t="shared" si="124"/>
        <v>0</v>
      </c>
      <c r="T608" s="76">
        <f t="shared" si="117"/>
        <v>0</v>
      </c>
      <c r="U608" s="76">
        <f t="shared" si="118"/>
        <v>0</v>
      </c>
      <c r="V608" s="76">
        <f t="shared" si="119"/>
        <v>0</v>
      </c>
      <c r="W608" s="76">
        <f t="shared" si="120"/>
        <v>0</v>
      </c>
      <c r="X608" s="76">
        <f t="shared" si="121"/>
        <v>0</v>
      </c>
      <c r="Y608" s="76">
        <f t="shared" si="125"/>
        <v>173145.40000000002</v>
      </c>
    </row>
    <row r="609" spans="8:25">
      <c r="H609" s="84">
        <v>559</v>
      </c>
      <c r="I609" s="83">
        <f>IFERROR(EOMONTH(DATE($C$10,$C$9,1),559-1),"")</f>
        <v>61940</v>
      </c>
      <c r="J609" s="82">
        <f t="shared" si="122"/>
        <v>0</v>
      </c>
      <c r="K609" s="82">
        <f t="shared" si="112"/>
        <v>0</v>
      </c>
      <c r="L609" s="82">
        <f t="shared" si="113"/>
        <v>0</v>
      </c>
      <c r="M609" s="82">
        <f t="shared" si="114"/>
        <v>0</v>
      </c>
      <c r="N609" s="82">
        <f t="shared" si="115"/>
        <v>0</v>
      </c>
      <c r="O609" s="82">
        <f t="shared" si="116"/>
        <v>0</v>
      </c>
      <c r="P609" s="82">
        <f t="shared" si="123"/>
        <v>94193.249999999898</v>
      </c>
      <c r="Q609" s="81">
        <v>559</v>
      </c>
      <c r="R609" s="80">
        <f>IFERROR(EOMONTH(DATE($F$10,$F$9,1),559-1),"")</f>
        <v>61940</v>
      </c>
      <c r="S609" s="79">
        <f t="shared" si="124"/>
        <v>0</v>
      </c>
      <c r="T609" s="79">
        <f t="shared" si="117"/>
        <v>0</v>
      </c>
      <c r="U609" s="79">
        <f t="shared" si="118"/>
        <v>0</v>
      </c>
      <c r="V609" s="79">
        <f t="shared" si="119"/>
        <v>0</v>
      </c>
      <c r="W609" s="79">
        <f t="shared" si="120"/>
        <v>0</v>
      </c>
      <c r="X609" s="79">
        <f t="shared" si="121"/>
        <v>0</v>
      </c>
      <c r="Y609" s="79">
        <f t="shared" si="125"/>
        <v>173145.40000000002</v>
      </c>
    </row>
    <row r="610" spans="8:25">
      <c r="H610" s="78">
        <v>560</v>
      </c>
      <c r="I610" s="77">
        <f>IFERROR(EOMONTH(DATE($C$10,$C$9,1),560-1),"")</f>
        <v>61971</v>
      </c>
      <c r="J610" s="76">
        <f t="shared" si="122"/>
        <v>0</v>
      </c>
      <c r="K610" s="76">
        <f t="shared" si="112"/>
        <v>0</v>
      </c>
      <c r="L610" s="76">
        <f t="shared" si="113"/>
        <v>0</v>
      </c>
      <c r="M610" s="76">
        <f t="shared" si="114"/>
        <v>0</v>
      </c>
      <c r="N610" s="76">
        <f t="shared" si="115"/>
        <v>0</v>
      </c>
      <c r="O610" s="76">
        <f t="shared" si="116"/>
        <v>0</v>
      </c>
      <c r="P610" s="76">
        <f t="shared" si="123"/>
        <v>94193.249999999898</v>
      </c>
      <c r="Q610" s="78">
        <v>560</v>
      </c>
      <c r="R610" s="77">
        <f>IFERROR(EOMONTH(DATE($F$10,$F$9,1),560-1),"")</f>
        <v>61971</v>
      </c>
      <c r="S610" s="76">
        <f t="shared" si="124"/>
        <v>0</v>
      </c>
      <c r="T610" s="76">
        <f t="shared" si="117"/>
        <v>0</v>
      </c>
      <c r="U610" s="76">
        <f t="shared" si="118"/>
        <v>0</v>
      </c>
      <c r="V610" s="76">
        <f t="shared" si="119"/>
        <v>0</v>
      </c>
      <c r="W610" s="76">
        <f t="shared" si="120"/>
        <v>0</v>
      </c>
      <c r="X610" s="76">
        <f t="shared" si="121"/>
        <v>0</v>
      </c>
      <c r="Y610" s="76">
        <f t="shared" si="125"/>
        <v>173145.40000000002</v>
      </c>
    </row>
    <row r="611" spans="8:25">
      <c r="H611" s="84">
        <v>561</v>
      </c>
      <c r="I611" s="83">
        <f>IFERROR(EOMONTH(DATE($C$10,$C$9,1),561-1),"")</f>
        <v>62001</v>
      </c>
      <c r="J611" s="82">
        <f t="shared" si="122"/>
        <v>0</v>
      </c>
      <c r="K611" s="82">
        <f t="shared" si="112"/>
        <v>0</v>
      </c>
      <c r="L611" s="82">
        <f t="shared" si="113"/>
        <v>0</v>
      </c>
      <c r="M611" s="82">
        <f t="shared" si="114"/>
        <v>0</v>
      </c>
      <c r="N611" s="82">
        <f t="shared" si="115"/>
        <v>0</v>
      </c>
      <c r="O611" s="82">
        <f t="shared" si="116"/>
        <v>0</v>
      </c>
      <c r="P611" s="82">
        <f t="shared" si="123"/>
        <v>94193.249999999898</v>
      </c>
      <c r="Q611" s="81">
        <v>561</v>
      </c>
      <c r="R611" s="80">
        <f>IFERROR(EOMONTH(DATE($F$10,$F$9,1),561-1),"")</f>
        <v>62001</v>
      </c>
      <c r="S611" s="79">
        <f t="shared" si="124"/>
        <v>0</v>
      </c>
      <c r="T611" s="79">
        <f t="shared" si="117"/>
        <v>0</v>
      </c>
      <c r="U611" s="79">
        <f t="shared" si="118"/>
        <v>0</v>
      </c>
      <c r="V611" s="79">
        <f t="shared" si="119"/>
        <v>0</v>
      </c>
      <c r="W611" s="79">
        <f t="shared" si="120"/>
        <v>0</v>
      </c>
      <c r="X611" s="79">
        <f t="shared" si="121"/>
        <v>0</v>
      </c>
      <c r="Y611" s="79">
        <f t="shared" si="125"/>
        <v>173145.40000000002</v>
      </c>
    </row>
    <row r="612" spans="8:25">
      <c r="H612" s="78">
        <v>562</v>
      </c>
      <c r="I612" s="77">
        <f>IFERROR(EOMONTH(DATE($C$10,$C$9,1),562-1),"")</f>
        <v>62032</v>
      </c>
      <c r="J612" s="76">
        <f t="shared" si="122"/>
        <v>0</v>
      </c>
      <c r="K612" s="76">
        <f t="shared" si="112"/>
        <v>0</v>
      </c>
      <c r="L612" s="76">
        <f t="shared" si="113"/>
        <v>0</v>
      </c>
      <c r="M612" s="76">
        <f t="shared" si="114"/>
        <v>0</v>
      </c>
      <c r="N612" s="76">
        <f t="shared" si="115"/>
        <v>0</v>
      </c>
      <c r="O612" s="76">
        <f t="shared" si="116"/>
        <v>0</v>
      </c>
      <c r="P612" s="76">
        <f t="shared" si="123"/>
        <v>94193.249999999898</v>
      </c>
      <c r="Q612" s="78">
        <v>562</v>
      </c>
      <c r="R612" s="77">
        <f>IFERROR(EOMONTH(DATE($F$10,$F$9,1),562-1),"")</f>
        <v>62032</v>
      </c>
      <c r="S612" s="76">
        <f t="shared" si="124"/>
        <v>0</v>
      </c>
      <c r="T612" s="76">
        <f t="shared" si="117"/>
        <v>0</v>
      </c>
      <c r="U612" s="76">
        <f t="shared" si="118"/>
        <v>0</v>
      </c>
      <c r="V612" s="76">
        <f t="shared" si="119"/>
        <v>0</v>
      </c>
      <c r="W612" s="76">
        <f t="shared" si="120"/>
        <v>0</v>
      </c>
      <c r="X612" s="76">
        <f t="shared" si="121"/>
        <v>0</v>
      </c>
      <c r="Y612" s="76">
        <f t="shared" si="125"/>
        <v>173145.40000000002</v>
      </c>
    </row>
    <row r="613" spans="8:25">
      <c r="H613" s="84">
        <v>563</v>
      </c>
      <c r="I613" s="83">
        <f>IFERROR(EOMONTH(DATE($C$10,$C$9,1),563-1),"")</f>
        <v>62062</v>
      </c>
      <c r="J613" s="82">
        <f t="shared" si="122"/>
        <v>0</v>
      </c>
      <c r="K613" s="82">
        <f t="shared" si="112"/>
        <v>0</v>
      </c>
      <c r="L613" s="82">
        <f t="shared" si="113"/>
        <v>0</v>
      </c>
      <c r="M613" s="82">
        <f t="shared" si="114"/>
        <v>0</v>
      </c>
      <c r="N613" s="82">
        <f t="shared" si="115"/>
        <v>0</v>
      </c>
      <c r="O613" s="82">
        <f t="shared" si="116"/>
        <v>0</v>
      </c>
      <c r="P613" s="82">
        <f t="shared" si="123"/>
        <v>94193.249999999898</v>
      </c>
      <c r="Q613" s="81">
        <v>563</v>
      </c>
      <c r="R613" s="80">
        <f>IFERROR(EOMONTH(DATE($F$10,$F$9,1),563-1),"")</f>
        <v>62062</v>
      </c>
      <c r="S613" s="79">
        <f t="shared" si="124"/>
        <v>0</v>
      </c>
      <c r="T613" s="79">
        <f t="shared" si="117"/>
        <v>0</v>
      </c>
      <c r="U613" s="79">
        <f t="shared" si="118"/>
        <v>0</v>
      </c>
      <c r="V613" s="79">
        <f t="shared" si="119"/>
        <v>0</v>
      </c>
      <c r="W613" s="79">
        <f t="shared" si="120"/>
        <v>0</v>
      </c>
      <c r="X613" s="79">
        <f t="shared" si="121"/>
        <v>0</v>
      </c>
      <c r="Y613" s="79">
        <f t="shared" si="125"/>
        <v>173145.40000000002</v>
      </c>
    </row>
    <row r="614" spans="8:25">
      <c r="H614" s="78">
        <v>564</v>
      </c>
      <c r="I614" s="77">
        <f>IFERROR(EOMONTH(DATE($C$10,$C$9,1),564-1),"")</f>
        <v>62093</v>
      </c>
      <c r="J614" s="76">
        <f t="shared" si="122"/>
        <v>0</v>
      </c>
      <c r="K614" s="76">
        <f t="shared" si="112"/>
        <v>0</v>
      </c>
      <c r="L614" s="76">
        <f t="shared" si="113"/>
        <v>0</v>
      </c>
      <c r="M614" s="76">
        <f t="shared" si="114"/>
        <v>0</v>
      </c>
      <c r="N614" s="76">
        <f t="shared" si="115"/>
        <v>0</v>
      </c>
      <c r="O614" s="76">
        <f t="shared" si="116"/>
        <v>0</v>
      </c>
      <c r="P614" s="76">
        <f t="shared" si="123"/>
        <v>94193.249999999898</v>
      </c>
      <c r="Q614" s="78">
        <v>564</v>
      </c>
      <c r="R614" s="77">
        <f>IFERROR(EOMONTH(DATE($F$10,$F$9,1),564-1),"")</f>
        <v>62093</v>
      </c>
      <c r="S614" s="76">
        <f t="shared" si="124"/>
        <v>0</v>
      </c>
      <c r="T614" s="76">
        <f t="shared" si="117"/>
        <v>0</v>
      </c>
      <c r="U614" s="76">
        <f t="shared" si="118"/>
        <v>0</v>
      </c>
      <c r="V614" s="76">
        <f t="shared" si="119"/>
        <v>0</v>
      </c>
      <c r="W614" s="76">
        <f t="shared" si="120"/>
        <v>0</v>
      </c>
      <c r="X614" s="76">
        <f t="shared" si="121"/>
        <v>0</v>
      </c>
      <c r="Y614" s="76">
        <f t="shared" si="125"/>
        <v>173145.40000000002</v>
      </c>
    </row>
    <row r="615" spans="8:25">
      <c r="H615" s="84">
        <v>565</v>
      </c>
      <c r="I615" s="83">
        <f>IFERROR(EOMONTH(DATE($C$10,$C$9,1),565-1),"")</f>
        <v>62124</v>
      </c>
      <c r="J615" s="82">
        <f t="shared" si="122"/>
        <v>0</v>
      </c>
      <c r="K615" s="82">
        <f t="shared" si="112"/>
        <v>0</v>
      </c>
      <c r="L615" s="82">
        <f t="shared" si="113"/>
        <v>0</v>
      </c>
      <c r="M615" s="82">
        <f t="shared" si="114"/>
        <v>0</v>
      </c>
      <c r="N615" s="82">
        <f t="shared" si="115"/>
        <v>0</v>
      </c>
      <c r="O615" s="82">
        <f t="shared" si="116"/>
        <v>0</v>
      </c>
      <c r="P615" s="82">
        <f t="shared" si="123"/>
        <v>94193.249999999898</v>
      </c>
      <c r="Q615" s="81">
        <v>565</v>
      </c>
      <c r="R615" s="80">
        <f>IFERROR(EOMONTH(DATE($F$10,$F$9,1),565-1),"")</f>
        <v>62124</v>
      </c>
      <c r="S615" s="79">
        <f t="shared" si="124"/>
        <v>0</v>
      </c>
      <c r="T615" s="79">
        <f t="shared" si="117"/>
        <v>0</v>
      </c>
      <c r="U615" s="79">
        <f t="shared" si="118"/>
        <v>0</v>
      </c>
      <c r="V615" s="79">
        <f t="shared" si="119"/>
        <v>0</v>
      </c>
      <c r="W615" s="79">
        <f t="shared" si="120"/>
        <v>0</v>
      </c>
      <c r="X615" s="79">
        <f t="shared" si="121"/>
        <v>0</v>
      </c>
      <c r="Y615" s="79">
        <f t="shared" si="125"/>
        <v>173145.40000000002</v>
      </c>
    </row>
    <row r="616" spans="8:25">
      <c r="H616" s="78">
        <v>566</v>
      </c>
      <c r="I616" s="77">
        <f>IFERROR(EOMONTH(DATE($C$10,$C$9,1),566-1),"")</f>
        <v>62152</v>
      </c>
      <c r="J616" s="76">
        <f t="shared" si="122"/>
        <v>0</v>
      </c>
      <c r="K616" s="76">
        <f t="shared" si="112"/>
        <v>0</v>
      </c>
      <c r="L616" s="76">
        <f t="shared" si="113"/>
        <v>0</v>
      </c>
      <c r="M616" s="76">
        <f t="shared" si="114"/>
        <v>0</v>
      </c>
      <c r="N616" s="76">
        <f t="shared" si="115"/>
        <v>0</v>
      </c>
      <c r="O616" s="76">
        <f t="shared" si="116"/>
        <v>0</v>
      </c>
      <c r="P616" s="76">
        <f t="shared" si="123"/>
        <v>94193.249999999898</v>
      </c>
      <c r="Q616" s="78">
        <v>566</v>
      </c>
      <c r="R616" s="77">
        <f>IFERROR(EOMONTH(DATE($F$10,$F$9,1),566-1),"")</f>
        <v>62152</v>
      </c>
      <c r="S616" s="76">
        <f t="shared" si="124"/>
        <v>0</v>
      </c>
      <c r="T616" s="76">
        <f t="shared" si="117"/>
        <v>0</v>
      </c>
      <c r="U616" s="76">
        <f t="shared" si="118"/>
        <v>0</v>
      </c>
      <c r="V616" s="76">
        <f t="shared" si="119"/>
        <v>0</v>
      </c>
      <c r="W616" s="76">
        <f t="shared" si="120"/>
        <v>0</v>
      </c>
      <c r="X616" s="76">
        <f t="shared" si="121"/>
        <v>0</v>
      </c>
      <c r="Y616" s="76">
        <f t="shared" si="125"/>
        <v>173145.40000000002</v>
      </c>
    </row>
    <row r="617" spans="8:25">
      <c r="H617" s="84">
        <v>567</v>
      </c>
      <c r="I617" s="83">
        <f>IFERROR(EOMONTH(DATE($C$10,$C$9,1),567-1),"")</f>
        <v>62183</v>
      </c>
      <c r="J617" s="82">
        <f t="shared" si="122"/>
        <v>0</v>
      </c>
      <c r="K617" s="82">
        <f t="shared" si="112"/>
        <v>0</v>
      </c>
      <c r="L617" s="82">
        <f t="shared" si="113"/>
        <v>0</v>
      </c>
      <c r="M617" s="82">
        <f t="shared" si="114"/>
        <v>0</v>
      </c>
      <c r="N617" s="82">
        <f t="shared" si="115"/>
        <v>0</v>
      </c>
      <c r="O617" s="82">
        <f t="shared" si="116"/>
        <v>0</v>
      </c>
      <c r="P617" s="82">
        <f t="shared" si="123"/>
        <v>94193.249999999898</v>
      </c>
      <c r="Q617" s="81">
        <v>567</v>
      </c>
      <c r="R617" s="80">
        <f>IFERROR(EOMONTH(DATE($F$10,$F$9,1),567-1),"")</f>
        <v>62183</v>
      </c>
      <c r="S617" s="79">
        <f t="shared" si="124"/>
        <v>0</v>
      </c>
      <c r="T617" s="79">
        <f t="shared" si="117"/>
        <v>0</v>
      </c>
      <c r="U617" s="79">
        <f t="shared" si="118"/>
        <v>0</v>
      </c>
      <c r="V617" s="79">
        <f t="shared" si="119"/>
        <v>0</v>
      </c>
      <c r="W617" s="79">
        <f t="shared" si="120"/>
        <v>0</v>
      </c>
      <c r="X617" s="79">
        <f t="shared" si="121"/>
        <v>0</v>
      </c>
      <c r="Y617" s="79">
        <f t="shared" si="125"/>
        <v>173145.40000000002</v>
      </c>
    </row>
    <row r="618" spans="8:25">
      <c r="H618" s="78">
        <v>568</v>
      </c>
      <c r="I618" s="77">
        <f>IFERROR(EOMONTH(DATE($C$10,$C$9,1),568-1),"")</f>
        <v>62213</v>
      </c>
      <c r="J618" s="76">
        <f t="shared" si="122"/>
        <v>0</v>
      </c>
      <c r="K618" s="76">
        <f t="shared" si="112"/>
        <v>0</v>
      </c>
      <c r="L618" s="76">
        <f t="shared" si="113"/>
        <v>0</v>
      </c>
      <c r="M618" s="76">
        <f t="shared" si="114"/>
        <v>0</v>
      </c>
      <c r="N618" s="76">
        <f t="shared" si="115"/>
        <v>0</v>
      </c>
      <c r="O618" s="76">
        <f t="shared" si="116"/>
        <v>0</v>
      </c>
      <c r="P618" s="76">
        <f t="shared" si="123"/>
        <v>94193.249999999898</v>
      </c>
      <c r="Q618" s="78">
        <v>568</v>
      </c>
      <c r="R618" s="77">
        <f>IFERROR(EOMONTH(DATE($F$10,$F$9,1),568-1),"")</f>
        <v>62213</v>
      </c>
      <c r="S618" s="76">
        <f t="shared" si="124"/>
        <v>0</v>
      </c>
      <c r="T618" s="76">
        <f t="shared" si="117"/>
        <v>0</v>
      </c>
      <c r="U618" s="76">
        <f t="shared" si="118"/>
        <v>0</v>
      </c>
      <c r="V618" s="76">
        <f t="shared" si="119"/>
        <v>0</v>
      </c>
      <c r="W618" s="76">
        <f t="shared" si="120"/>
        <v>0</v>
      </c>
      <c r="X618" s="76">
        <f t="shared" si="121"/>
        <v>0</v>
      </c>
      <c r="Y618" s="76">
        <f t="shared" si="125"/>
        <v>173145.40000000002</v>
      </c>
    </row>
    <row r="619" spans="8:25">
      <c r="H619" s="84">
        <v>569</v>
      </c>
      <c r="I619" s="83">
        <f>IFERROR(EOMONTH(DATE($C$10,$C$9,1),569-1),"")</f>
        <v>62244</v>
      </c>
      <c r="J619" s="82">
        <f t="shared" si="122"/>
        <v>0</v>
      </c>
      <c r="K619" s="82">
        <f t="shared" si="112"/>
        <v>0</v>
      </c>
      <c r="L619" s="82">
        <f t="shared" si="113"/>
        <v>0</v>
      </c>
      <c r="M619" s="82">
        <f t="shared" si="114"/>
        <v>0</v>
      </c>
      <c r="N619" s="82">
        <f t="shared" si="115"/>
        <v>0</v>
      </c>
      <c r="O619" s="82">
        <f t="shared" si="116"/>
        <v>0</v>
      </c>
      <c r="P619" s="82">
        <f t="shared" si="123"/>
        <v>94193.249999999898</v>
      </c>
      <c r="Q619" s="81">
        <v>569</v>
      </c>
      <c r="R619" s="80">
        <f>IFERROR(EOMONTH(DATE($F$10,$F$9,1),569-1),"")</f>
        <v>62244</v>
      </c>
      <c r="S619" s="79">
        <f t="shared" si="124"/>
        <v>0</v>
      </c>
      <c r="T619" s="79">
        <f t="shared" si="117"/>
        <v>0</v>
      </c>
      <c r="U619" s="79">
        <f t="shared" si="118"/>
        <v>0</v>
      </c>
      <c r="V619" s="79">
        <f t="shared" si="119"/>
        <v>0</v>
      </c>
      <c r="W619" s="79">
        <f t="shared" si="120"/>
        <v>0</v>
      </c>
      <c r="X619" s="79">
        <f t="shared" si="121"/>
        <v>0</v>
      </c>
      <c r="Y619" s="79">
        <f t="shared" si="125"/>
        <v>173145.40000000002</v>
      </c>
    </row>
    <row r="620" spans="8:25">
      <c r="H620" s="78">
        <v>570</v>
      </c>
      <c r="I620" s="77">
        <f>IFERROR(EOMONTH(DATE($C$10,$C$9,1),570-1),"")</f>
        <v>62274</v>
      </c>
      <c r="J620" s="76">
        <f t="shared" si="122"/>
        <v>0</v>
      </c>
      <c r="K620" s="76">
        <f t="shared" si="112"/>
        <v>0</v>
      </c>
      <c r="L620" s="76">
        <f t="shared" si="113"/>
        <v>0</v>
      </c>
      <c r="M620" s="76">
        <f t="shared" si="114"/>
        <v>0</v>
      </c>
      <c r="N620" s="76">
        <f t="shared" si="115"/>
        <v>0</v>
      </c>
      <c r="O620" s="76">
        <f t="shared" si="116"/>
        <v>0</v>
      </c>
      <c r="P620" s="76">
        <f t="shared" si="123"/>
        <v>94193.249999999898</v>
      </c>
      <c r="Q620" s="78">
        <v>570</v>
      </c>
      <c r="R620" s="77">
        <f>IFERROR(EOMONTH(DATE($F$10,$F$9,1),570-1),"")</f>
        <v>62274</v>
      </c>
      <c r="S620" s="76">
        <f t="shared" si="124"/>
        <v>0</v>
      </c>
      <c r="T620" s="76">
        <f t="shared" si="117"/>
        <v>0</v>
      </c>
      <c r="U620" s="76">
        <f t="shared" si="118"/>
        <v>0</v>
      </c>
      <c r="V620" s="76">
        <f t="shared" si="119"/>
        <v>0</v>
      </c>
      <c r="W620" s="76">
        <f t="shared" si="120"/>
        <v>0</v>
      </c>
      <c r="X620" s="76">
        <f t="shared" si="121"/>
        <v>0</v>
      </c>
      <c r="Y620" s="76">
        <f t="shared" si="125"/>
        <v>173145.40000000002</v>
      </c>
    </row>
    <row r="621" spans="8:25">
      <c r="H621" s="84">
        <v>571</v>
      </c>
      <c r="I621" s="83">
        <f>IFERROR(EOMONTH(DATE($C$10,$C$9,1),571-1),"")</f>
        <v>62305</v>
      </c>
      <c r="J621" s="82">
        <f t="shared" si="122"/>
        <v>0</v>
      </c>
      <c r="K621" s="82">
        <f t="shared" si="112"/>
        <v>0</v>
      </c>
      <c r="L621" s="82">
        <f t="shared" si="113"/>
        <v>0</v>
      </c>
      <c r="M621" s="82">
        <f t="shared" si="114"/>
        <v>0</v>
      </c>
      <c r="N621" s="82">
        <f t="shared" si="115"/>
        <v>0</v>
      </c>
      <c r="O621" s="82">
        <f t="shared" si="116"/>
        <v>0</v>
      </c>
      <c r="P621" s="82">
        <f t="shared" si="123"/>
        <v>94193.249999999898</v>
      </c>
      <c r="Q621" s="81">
        <v>571</v>
      </c>
      <c r="R621" s="80">
        <f>IFERROR(EOMONTH(DATE($F$10,$F$9,1),571-1),"")</f>
        <v>62305</v>
      </c>
      <c r="S621" s="79">
        <f t="shared" si="124"/>
        <v>0</v>
      </c>
      <c r="T621" s="79">
        <f t="shared" si="117"/>
        <v>0</v>
      </c>
      <c r="U621" s="79">
        <f t="shared" si="118"/>
        <v>0</v>
      </c>
      <c r="V621" s="79">
        <f t="shared" si="119"/>
        <v>0</v>
      </c>
      <c r="W621" s="79">
        <f t="shared" si="120"/>
        <v>0</v>
      </c>
      <c r="X621" s="79">
        <f t="shared" si="121"/>
        <v>0</v>
      </c>
      <c r="Y621" s="79">
        <f t="shared" si="125"/>
        <v>173145.40000000002</v>
      </c>
    </row>
    <row r="622" spans="8:25">
      <c r="H622" s="78">
        <v>572</v>
      </c>
      <c r="I622" s="77">
        <f>IFERROR(EOMONTH(DATE($C$10,$C$9,1),572-1),"")</f>
        <v>62336</v>
      </c>
      <c r="J622" s="76">
        <f t="shared" si="122"/>
        <v>0</v>
      </c>
      <c r="K622" s="76">
        <f t="shared" si="112"/>
        <v>0</v>
      </c>
      <c r="L622" s="76">
        <f t="shared" si="113"/>
        <v>0</v>
      </c>
      <c r="M622" s="76">
        <f t="shared" si="114"/>
        <v>0</v>
      </c>
      <c r="N622" s="76">
        <f t="shared" si="115"/>
        <v>0</v>
      </c>
      <c r="O622" s="76">
        <f t="shared" si="116"/>
        <v>0</v>
      </c>
      <c r="P622" s="76">
        <f t="shared" si="123"/>
        <v>94193.249999999898</v>
      </c>
      <c r="Q622" s="78">
        <v>572</v>
      </c>
      <c r="R622" s="77">
        <f>IFERROR(EOMONTH(DATE($F$10,$F$9,1),572-1),"")</f>
        <v>62336</v>
      </c>
      <c r="S622" s="76">
        <f t="shared" si="124"/>
        <v>0</v>
      </c>
      <c r="T622" s="76">
        <f t="shared" si="117"/>
        <v>0</v>
      </c>
      <c r="U622" s="76">
        <f t="shared" si="118"/>
        <v>0</v>
      </c>
      <c r="V622" s="76">
        <f t="shared" si="119"/>
        <v>0</v>
      </c>
      <c r="W622" s="76">
        <f t="shared" si="120"/>
        <v>0</v>
      </c>
      <c r="X622" s="76">
        <f t="shared" si="121"/>
        <v>0</v>
      </c>
      <c r="Y622" s="76">
        <f t="shared" si="125"/>
        <v>173145.40000000002</v>
      </c>
    </row>
    <row r="623" spans="8:25">
      <c r="H623" s="84">
        <v>573</v>
      </c>
      <c r="I623" s="83">
        <f>IFERROR(EOMONTH(DATE($C$10,$C$9,1),573-1),"")</f>
        <v>62366</v>
      </c>
      <c r="J623" s="82">
        <f t="shared" si="122"/>
        <v>0</v>
      </c>
      <c r="K623" s="82">
        <f t="shared" si="112"/>
        <v>0</v>
      </c>
      <c r="L623" s="82">
        <f t="shared" si="113"/>
        <v>0</v>
      </c>
      <c r="M623" s="82">
        <f t="shared" si="114"/>
        <v>0</v>
      </c>
      <c r="N623" s="82">
        <f t="shared" si="115"/>
        <v>0</v>
      </c>
      <c r="O623" s="82">
        <f t="shared" si="116"/>
        <v>0</v>
      </c>
      <c r="P623" s="82">
        <f t="shared" si="123"/>
        <v>94193.249999999898</v>
      </c>
      <c r="Q623" s="81">
        <v>573</v>
      </c>
      <c r="R623" s="80">
        <f>IFERROR(EOMONTH(DATE($F$10,$F$9,1),573-1),"")</f>
        <v>62366</v>
      </c>
      <c r="S623" s="79">
        <f t="shared" si="124"/>
        <v>0</v>
      </c>
      <c r="T623" s="79">
        <f t="shared" si="117"/>
        <v>0</v>
      </c>
      <c r="U623" s="79">
        <f t="shared" si="118"/>
        <v>0</v>
      </c>
      <c r="V623" s="79">
        <f t="shared" si="119"/>
        <v>0</v>
      </c>
      <c r="W623" s="79">
        <f t="shared" si="120"/>
        <v>0</v>
      </c>
      <c r="X623" s="79">
        <f t="shared" si="121"/>
        <v>0</v>
      </c>
      <c r="Y623" s="79">
        <f t="shared" si="125"/>
        <v>173145.40000000002</v>
      </c>
    </row>
    <row r="624" spans="8:25">
      <c r="H624" s="78">
        <v>574</v>
      </c>
      <c r="I624" s="77">
        <f>IFERROR(EOMONTH(DATE($C$10,$C$9,1),574-1),"")</f>
        <v>62397</v>
      </c>
      <c r="J624" s="76">
        <f t="shared" si="122"/>
        <v>0</v>
      </c>
      <c r="K624" s="76">
        <f t="shared" si="112"/>
        <v>0</v>
      </c>
      <c r="L624" s="76">
        <f t="shared" si="113"/>
        <v>0</v>
      </c>
      <c r="M624" s="76">
        <f t="shared" si="114"/>
        <v>0</v>
      </c>
      <c r="N624" s="76">
        <f t="shared" si="115"/>
        <v>0</v>
      </c>
      <c r="O624" s="76">
        <f t="shared" si="116"/>
        <v>0</v>
      </c>
      <c r="P624" s="76">
        <f t="shared" si="123"/>
        <v>94193.249999999898</v>
      </c>
      <c r="Q624" s="78">
        <v>574</v>
      </c>
      <c r="R624" s="77">
        <f>IFERROR(EOMONTH(DATE($F$10,$F$9,1),574-1),"")</f>
        <v>62397</v>
      </c>
      <c r="S624" s="76">
        <f t="shared" si="124"/>
        <v>0</v>
      </c>
      <c r="T624" s="76">
        <f t="shared" si="117"/>
        <v>0</v>
      </c>
      <c r="U624" s="76">
        <f t="shared" si="118"/>
        <v>0</v>
      </c>
      <c r="V624" s="76">
        <f t="shared" si="119"/>
        <v>0</v>
      </c>
      <c r="W624" s="76">
        <f t="shared" si="120"/>
        <v>0</v>
      </c>
      <c r="X624" s="76">
        <f t="shared" si="121"/>
        <v>0</v>
      </c>
      <c r="Y624" s="76">
        <f t="shared" si="125"/>
        <v>173145.40000000002</v>
      </c>
    </row>
    <row r="625" spans="8:25">
      <c r="H625" s="84">
        <v>575</v>
      </c>
      <c r="I625" s="83">
        <f>IFERROR(EOMONTH(DATE($C$10,$C$9,1),575-1),"")</f>
        <v>62427</v>
      </c>
      <c r="J625" s="82">
        <f t="shared" si="122"/>
        <v>0</v>
      </c>
      <c r="K625" s="82">
        <f t="shared" si="112"/>
        <v>0</v>
      </c>
      <c r="L625" s="82">
        <f t="shared" si="113"/>
        <v>0</v>
      </c>
      <c r="M625" s="82">
        <f t="shared" si="114"/>
        <v>0</v>
      </c>
      <c r="N625" s="82">
        <f t="shared" si="115"/>
        <v>0</v>
      </c>
      <c r="O625" s="82">
        <f t="shared" si="116"/>
        <v>0</v>
      </c>
      <c r="P625" s="82">
        <f t="shared" si="123"/>
        <v>94193.249999999898</v>
      </c>
      <c r="Q625" s="81">
        <v>575</v>
      </c>
      <c r="R625" s="80">
        <f>IFERROR(EOMONTH(DATE($F$10,$F$9,1),575-1),"")</f>
        <v>62427</v>
      </c>
      <c r="S625" s="79">
        <f t="shared" si="124"/>
        <v>0</v>
      </c>
      <c r="T625" s="79">
        <f t="shared" si="117"/>
        <v>0</v>
      </c>
      <c r="U625" s="79">
        <f t="shared" si="118"/>
        <v>0</v>
      </c>
      <c r="V625" s="79">
        <f t="shared" si="119"/>
        <v>0</v>
      </c>
      <c r="W625" s="79">
        <f t="shared" si="120"/>
        <v>0</v>
      </c>
      <c r="X625" s="79">
        <f t="shared" si="121"/>
        <v>0</v>
      </c>
      <c r="Y625" s="79">
        <f t="shared" si="125"/>
        <v>173145.40000000002</v>
      </c>
    </row>
    <row r="626" spans="8:25">
      <c r="H626" s="78">
        <v>576</v>
      </c>
      <c r="I626" s="77">
        <f>IFERROR(EOMONTH(DATE($C$10,$C$9,1),576-1),"")</f>
        <v>62458</v>
      </c>
      <c r="J626" s="76">
        <f t="shared" si="122"/>
        <v>0</v>
      </c>
      <c r="K626" s="76">
        <f t="shared" si="112"/>
        <v>0</v>
      </c>
      <c r="L626" s="76">
        <f t="shared" si="113"/>
        <v>0</v>
      </c>
      <c r="M626" s="76">
        <f t="shared" si="114"/>
        <v>0</v>
      </c>
      <c r="N626" s="76">
        <f t="shared" si="115"/>
        <v>0</v>
      </c>
      <c r="O626" s="76">
        <f t="shared" si="116"/>
        <v>0</v>
      </c>
      <c r="P626" s="76">
        <f t="shared" si="123"/>
        <v>94193.249999999898</v>
      </c>
      <c r="Q626" s="78">
        <v>576</v>
      </c>
      <c r="R626" s="77">
        <f>IFERROR(EOMONTH(DATE($F$10,$F$9,1),576-1),"")</f>
        <v>62458</v>
      </c>
      <c r="S626" s="76">
        <f t="shared" si="124"/>
        <v>0</v>
      </c>
      <c r="T626" s="76">
        <f t="shared" si="117"/>
        <v>0</v>
      </c>
      <c r="U626" s="76">
        <f t="shared" si="118"/>
        <v>0</v>
      </c>
      <c r="V626" s="76">
        <f t="shared" si="119"/>
        <v>0</v>
      </c>
      <c r="W626" s="76">
        <f t="shared" si="120"/>
        <v>0</v>
      </c>
      <c r="X626" s="76">
        <f t="shared" si="121"/>
        <v>0</v>
      </c>
      <c r="Y626" s="76">
        <f t="shared" si="125"/>
        <v>173145.40000000002</v>
      </c>
    </row>
    <row r="627" spans="8:25">
      <c r="H627" s="84">
        <v>577</v>
      </c>
      <c r="I627" s="83">
        <f>IFERROR(EOMONTH(DATE($C$10,$C$9,1),577-1),"")</f>
        <v>62489</v>
      </c>
      <c r="J627" s="82">
        <f t="shared" si="122"/>
        <v>0</v>
      </c>
      <c r="K627" s="82">
        <f t="shared" ref="K627:K690" si="126">IF(J627&lt;=0,0,ROUND(J627*$C$7/12,2))</f>
        <v>0</v>
      </c>
      <c r="L627" s="82">
        <f t="shared" ref="L627:L690" si="127">IF(J627&lt;=0,0,IF(UPPER(TRIM($C$11))="INTEREST ONLY",0,MAX(0,MIN(J627,$C$17-K627))))</f>
        <v>0</v>
      </c>
      <c r="M627" s="82">
        <f t="shared" ref="M627:M690" si="128">IF(J627&lt;=0,0,MIN(J627-L627,$C$12+IF(H627=$C$14,$C$13,0)))</f>
        <v>0</v>
      </c>
      <c r="N627" s="82">
        <f t="shared" ref="N627:N690" si="129">K627+L627+M627</f>
        <v>0</v>
      </c>
      <c r="O627" s="82">
        <f t="shared" ref="O627:O650" si="130">MAX(0,J627-L627-M627)</f>
        <v>0</v>
      </c>
      <c r="P627" s="82">
        <f t="shared" si="123"/>
        <v>94193.249999999898</v>
      </c>
      <c r="Q627" s="81">
        <v>577</v>
      </c>
      <c r="R627" s="80">
        <f>IFERROR(EOMONTH(DATE($F$10,$F$9,1),577-1),"")</f>
        <v>62489</v>
      </c>
      <c r="S627" s="79">
        <f t="shared" si="124"/>
        <v>0</v>
      </c>
      <c r="T627" s="79">
        <f t="shared" ref="T627:T690" si="131">IF(S627&lt;=0,0,ROUND(S627*$F$7/12,2))</f>
        <v>0</v>
      </c>
      <c r="U627" s="79">
        <f t="shared" ref="U627:U690" si="132">IF(S627&lt;=0,0,IF(UPPER(TRIM($F$11))="INTEREST ONLY",0,MAX(0,MIN(S627,$F$17-T627))))</f>
        <v>0</v>
      </c>
      <c r="V627" s="79">
        <f t="shared" ref="V627:V690" si="133">IF(S627&lt;=0,0,MIN(S627-U627,$F$12+IF(Q627=$F$14,$F$13,0)))</f>
        <v>0</v>
      </c>
      <c r="W627" s="79">
        <f t="shared" ref="W627:W690" si="134">T627+U627+V627</f>
        <v>0</v>
      </c>
      <c r="X627" s="79">
        <f t="shared" ref="X627:X650" si="135">MAX(0,S627-U627-V627)</f>
        <v>0</v>
      </c>
      <c r="Y627" s="79">
        <f t="shared" si="125"/>
        <v>173145.40000000002</v>
      </c>
    </row>
    <row r="628" spans="8:25">
      <c r="H628" s="78">
        <v>578</v>
      </c>
      <c r="I628" s="77">
        <f>IFERROR(EOMONTH(DATE($C$10,$C$9,1),578-1),"")</f>
        <v>62517</v>
      </c>
      <c r="J628" s="76">
        <f t="shared" ref="J628:J650" si="136">IF(O627&lt;=0,0,O627)</f>
        <v>0</v>
      </c>
      <c r="K628" s="76">
        <f t="shared" si="126"/>
        <v>0</v>
      </c>
      <c r="L628" s="76">
        <f t="shared" si="127"/>
        <v>0</v>
      </c>
      <c r="M628" s="76">
        <f t="shared" si="128"/>
        <v>0</v>
      </c>
      <c r="N628" s="76">
        <f t="shared" si="129"/>
        <v>0</v>
      </c>
      <c r="O628" s="76">
        <f t="shared" si="130"/>
        <v>0</v>
      </c>
      <c r="P628" s="76">
        <f t="shared" ref="P628:P650" si="137">P627+K628</f>
        <v>94193.249999999898</v>
      </c>
      <c r="Q628" s="78">
        <v>578</v>
      </c>
      <c r="R628" s="77">
        <f>IFERROR(EOMONTH(DATE($F$10,$F$9,1),578-1),"")</f>
        <v>62517</v>
      </c>
      <c r="S628" s="76">
        <f t="shared" ref="S628:S650" si="138">IF(X627&lt;=0,0,X627)</f>
        <v>0</v>
      </c>
      <c r="T628" s="76">
        <f t="shared" si="131"/>
        <v>0</v>
      </c>
      <c r="U628" s="76">
        <f t="shared" si="132"/>
        <v>0</v>
      </c>
      <c r="V628" s="76">
        <f t="shared" si="133"/>
        <v>0</v>
      </c>
      <c r="W628" s="76">
        <f t="shared" si="134"/>
        <v>0</v>
      </c>
      <c r="X628" s="76">
        <f t="shared" si="135"/>
        <v>0</v>
      </c>
      <c r="Y628" s="76">
        <f t="shared" ref="Y628:Y650" si="139">Y627+T628</f>
        <v>173145.40000000002</v>
      </c>
    </row>
    <row r="629" spans="8:25">
      <c r="H629" s="84">
        <v>579</v>
      </c>
      <c r="I629" s="83">
        <f>IFERROR(EOMONTH(DATE($C$10,$C$9,1),579-1),"")</f>
        <v>62548</v>
      </c>
      <c r="J629" s="82">
        <f t="shared" si="136"/>
        <v>0</v>
      </c>
      <c r="K629" s="82">
        <f t="shared" si="126"/>
        <v>0</v>
      </c>
      <c r="L629" s="82">
        <f t="shared" si="127"/>
        <v>0</v>
      </c>
      <c r="M629" s="82">
        <f t="shared" si="128"/>
        <v>0</v>
      </c>
      <c r="N629" s="82">
        <f t="shared" si="129"/>
        <v>0</v>
      </c>
      <c r="O629" s="82">
        <f t="shared" si="130"/>
        <v>0</v>
      </c>
      <c r="P629" s="82">
        <f t="shared" si="137"/>
        <v>94193.249999999898</v>
      </c>
      <c r="Q629" s="81">
        <v>579</v>
      </c>
      <c r="R629" s="80">
        <f>IFERROR(EOMONTH(DATE($F$10,$F$9,1),579-1),"")</f>
        <v>62548</v>
      </c>
      <c r="S629" s="79">
        <f t="shared" si="138"/>
        <v>0</v>
      </c>
      <c r="T629" s="79">
        <f t="shared" si="131"/>
        <v>0</v>
      </c>
      <c r="U629" s="79">
        <f t="shared" si="132"/>
        <v>0</v>
      </c>
      <c r="V629" s="79">
        <f t="shared" si="133"/>
        <v>0</v>
      </c>
      <c r="W629" s="79">
        <f t="shared" si="134"/>
        <v>0</v>
      </c>
      <c r="X629" s="79">
        <f t="shared" si="135"/>
        <v>0</v>
      </c>
      <c r="Y629" s="79">
        <f t="shared" si="139"/>
        <v>173145.40000000002</v>
      </c>
    </row>
    <row r="630" spans="8:25">
      <c r="H630" s="78">
        <v>580</v>
      </c>
      <c r="I630" s="77">
        <f>IFERROR(EOMONTH(DATE($C$10,$C$9,1),580-1),"")</f>
        <v>62578</v>
      </c>
      <c r="J630" s="76">
        <f t="shared" si="136"/>
        <v>0</v>
      </c>
      <c r="K630" s="76">
        <f t="shared" si="126"/>
        <v>0</v>
      </c>
      <c r="L630" s="76">
        <f t="shared" si="127"/>
        <v>0</v>
      </c>
      <c r="M630" s="76">
        <f t="shared" si="128"/>
        <v>0</v>
      </c>
      <c r="N630" s="76">
        <f t="shared" si="129"/>
        <v>0</v>
      </c>
      <c r="O630" s="76">
        <f t="shared" si="130"/>
        <v>0</v>
      </c>
      <c r="P630" s="76">
        <f t="shared" si="137"/>
        <v>94193.249999999898</v>
      </c>
      <c r="Q630" s="78">
        <v>580</v>
      </c>
      <c r="R630" s="77">
        <f>IFERROR(EOMONTH(DATE($F$10,$F$9,1),580-1),"")</f>
        <v>62578</v>
      </c>
      <c r="S630" s="76">
        <f t="shared" si="138"/>
        <v>0</v>
      </c>
      <c r="T630" s="76">
        <f t="shared" si="131"/>
        <v>0</v>
      </c>
      <c r="U630" s="76">
        <f t="shared" si="132"/>
        <v>0</v>
      </c>
      <c r="V630" s="76">
        <f t="shared" si="133"/>
        <v>0</v>
      </c>
      <c r="W630" s="76">
        <f t="shared" si="134"/>
        <v>0</v>
      </c>
      <c r="X630" s="76">
        <f t="shared" si="135"/>
        <v>0</v>
      </c>
      <c r="Y630" s="76">
        <f t="shared" si="139"/>
        <v>173145.40000000002</v>
      </c>
    </row>
    <row r="631" spans="8:25">
      <c r="H631" s="84">
        <v>581</v>
      </c>
      <c r="I631" s="83">
        <f>IFERROR(EOMONTH(DATE($C$10,$C$9,1),581-1),"")</f>
        <v>62609</v>
      </c>
      <c r="J631" s="82">
        <f t="shared" si="136"/>
        <v>0</v>
      </c>
      <c r="K631" s="82">
        <f t="shared" si="126"/>
        <v>0</v>
      </c>
      <c r="L631" s="82">
        <f t="shared" si="127"/>
        <v>0</v>
      </c>
      <c r="M631" s="82">
        <f t="shared" si="128"/>
        <v>0</v>
      </c>
      <c r="N631" s="82">
        <f t="shared" si="129"/>
        <v>0</v>
      </c>
      <c r="O631" s="82">
        <f t="shared" si="130"/>
        <v>0</v>
      </c>
      <c r="P631" s="82">
        <f t="shared" si="137"/>
        <v>94193.249999999898</v>
      </c>
      <c r="Q631" s="81">
        <v>581</v>
      </c>
      <c r="R631" s="80">
        <f>IFERROR(EOMONTH(DATE($F$10,$F$9,1),581-1),"")</f>
        <v>62609</v>
      </c>
      <c r="S631" s="79">
        <f t="shared" si="138"/>
        <v>0</v>
      </c>
      <c r="T631" s="79">
        <f t="shared" si="131"/>
        <v>0</v>
      </c>
      <c r="U631" s="79">
        <f t="shared" si="132"/>
        <v>0</v>
      </c>
      <c r="V631" s="79">
        <f t="shared" si="133"/>
        <v>0</v>
      </c>
      <c r="W631" s="79">
        <f t="shared" si="134"/>
        <v>0</v>
      </c>
      <c r="X631" s="79">
        <f t="shared" si="135"/>
        <v>0</v>
      </c>
      <c r="Y631" s="79">
        <f t="shared" si="139"/>
        <v>173145.40000000002</v>
      </c>
    </row>
    <row r="632" spans="8:25">
      <c r="H632" s="78">
        <v>582</v>
      </c>
      <c r="I632" s="77">
        <f>IFERROR(EOMONTH(DATE($C$10,$C$9,1),582-1),"")</f>
        <v>62639</v>
      </c>
      <c r="J632" s="76">
        <f t="shared" si="136"/>
        <v>0</v>
      </c>
      <c r="K632" s="76">
        <f t="shared" si="126"/>
        <v>0</v>
      </c>
      <c r="L632" s="76">
        <f t="shared" si="127"/>
        <v>0</v>
      </c>
      <c r="M632" s="76">
        <f t="shared" si="128"/>
        <v>0</v>
      </c>
      <c r="N632" s="76">
        <f t="shared" si="129"/>
        <v>0</v>
      </c>
      <c r="O632" s="76">
        <f t="shared" si="130"/>
        <v>0</v>
      </c>
      <c r="P632" s="76">
        <f t="shared" si="137"/>
        <v>94193.249999999898</v>
      </c>
      <c r="Q632" s="78">
        <v>582</v>
      </c>
      <c r="R632" s="77">
        <f>IFERROR(EOMONTH(DATE($F$10,$F$9,1),582-1),"")</f>
        <v>62639</v>
      </c>
      <c r="S632" s="76">
        <f t="shared" si="138"/>
        <v>0</v>
      </c>
      <c r="T632" s="76">
        <f t="shared" si="131"/>
        <v>0</v>
      </c>
      <c r="U632" s="76">
        <f t="shared" si="132"/>
        <v>0</v>
      </c>
      <c r="V632" s="76">
        <f t="shared" si="133"/>
        <v>0</v>
      </c>
      <c r="W632" s="76">
        <f t="shared" si="134"/>
        <v>0</v>
      </c>
      <c r="X632" s="76">
        <f t="shared" si="135"/>
        <v>0</v>
      </c>
      <c r="Y632" s="76">
        <f t="shared" si="139"/>
        <v>173145.40000000002</v>
      </c>
    </row>
    <row r="633" spans="8:25">
      <c r="H633" s="84">
        <v>583</v>
      </c>
      <c r="I633" s="83">
        <f>IFERROR(EOMONTH(DATE($C$10,$C$9,1),583-1),"")</f>
        <v>62670</v>
      </c>
      <c r="J633" s="82">
        <f t="shared" si="136"/>
        <v>0</v>
      </c>
      <c r="K633" s="82">
        <f t="shared" si="126"/>
        <v>0</v>
      </c>
      <c r="L633" s="82">
        <f t="shared" si="127"/>
        <v>0</v>
      </c>
      <c r="M633" s="82">
        <f t="shared" si="128"/>
        <v>0</v>
      </c>
      <c r="N633" s="82">
        <f t="shared" si="129"/>
        <v>0</v>
      </c>
      <c r="O633" s="82">
        <f t="shared" si="130"/>
        <v>0</v>
      </c>
      <c r="P633" s="82">
        <f t="shared" si="137"/>
        <v>94193.249999999898</v>
      </c>
      <c r="Q633" s="81">
        <v>583</v>
      </c>
      <c r="R633" s="80">
        <f>IFERROR(EOMONTH(DATE($F$10,$F$9,1),583-1),"")</f>
        <v>62670</v>
      </c>
      <c r="S633" s="79">
        <f t="shared" si="138"/>
        <v>0</v>
      </c>
      <c r="T633" s="79">
        <f t="shared" si="131"/>
        <v>0</v>
      </c>
      <c r="U633" s="79">
        <f t="shared" si="132"/>
        <v>0</v>
      </c>
      <c r="V633" s="79">
        <f t="shared" si="133"/>
        <v>0</v>
      </c>
      <c r="W633" s="79">
        <f t="shared" si="134"/>
        <v>0</v>
      </c>
      <c r="X633" s="79">
        <f t="shared" si="135"/>
        <v>0</v>
      </c>
      <c r="Y633" s="79">
        <f t="shared" si="139"/>
        <v>173145.40000000002</v>
      </c>
    </row>
    <row r="634" spans="8:25">
      <c r="H634" s="78">
        <v>584</v>
      </c>
      <c r="I634" s="77">
        <f>IFERROR(EOMONTH(DATE($C$10,$C$9,1),584-1),"")</f>
        <v>62701</v>
      </c>
      <c r="J634" s="76">
        <f t="shared" si="136"/>
        <v>0</v>
      </c>
      <c r="K634" s="76">
        <f t="shared" si="126"/>
        <v>0</v>
      </c>
      <c r="L634" s="76">
        <f t="shared" si="127"/>
        <v>0</v>
      </c>
      <c r="M634" s="76">
        <f t="shared" si="128"/>
        <v>0</v>
      </c>
      <c r="N634" s="76">
        <f t="shared" si="129"/>
        <v>0</v>
      </c>
      <c r="O634" s="76">
        <f t="shared" si="130"/>
        <v>0</v>
      </c>
      <c r="P634" s="76">
        <f t="shared" si="137"/>
        <v>94193.249999999898</v>
      </c>
      <c r="Q634" s="78">
        <v>584</v>
      </c>
      <c r="R634" s="77">
        <f>IFERROR(EOMONTH(DATE($F$10,$F$9,1),584-1),"")</f>
        <v>62701</v>
      </c>
      <c r="S634" s="76">
        <f t="shared" si="138"/>
        <v>0</v>
      </c>
      <c r="T634" s="76">
        <f t="shared" si="131"/>
        <v>0</v>
      </c>
      <c r="U634" s="76">
        <f t="shared" si="132"/>
        <v>0</v>
      </c>
      <c r="V634" s="76">
        <f t="shared" si="133"/>
        <v>0</v>
      </c>
      <c r="W634" s="76">
        <f t="shared" si="134"/>
        <v>0</v>
      </c>
      <c r="X634" s="76">
        <f t="shared" si="135"/>
        <v>0</v>
      </c>
      <c r="Y634" s="76">
        <f t="shared" si="139"/>
        <v>173145.40000000002</v>
      </c>
    </row>
    <row r="635" spans="8:25">
      <c r="H635" s="84">
        <v>585</v>
      </c>
      <c r="I635" s="83">
        <f>IFERROR(EOMONTH(DATE($C$10,$C$9,1),585-1),"")</f>
        <v>62731</v>
      </c>
      <c r="J635" s="82">
        <f t="shared" si="136"/>
        <v>0</v>
      </c>
      <c r="K635" s="82">
        <f t="shared" si="126"/>
        <v>0</v>
      </c>
      <c r="L635" s="82">
        <f t="shared" si="127"/>
        <v>0</v>
      </c>
      <c r="M635" s="82">
        <f t="shared" si="128"/>
        <v>0</v>
      </c>
      <c r="N635" s="82">
        <f t="shared" si="129"/>
        <v>0</v>
      </c>
      <c r="O635" s="82">
        <f t="shared" si="130"/>
        <v>0</v>
      </c>
      <c r="P635" s="82">
        <f t="shared" si="137"/>
        <v>94193.249999999898</v>
      </c>
      <c r="Q635" s="81">
        <v>585</v>
      </c>
      <c r="R635" s="80">
        <f>IFERROR(EOMONTH(DATE($F$10,$F$9,1),585-1),"")</f>
        <v>62731</v>
      </c>
      <c r="S635" s="79">
        <f t="shared" si="138"/>
        <v>0</v>
      </c>
      <c r="T635" s="79">
        <f t="shared" si="131"/>
        <v>0</v>
      </c>
      <c r="U635" s="79">
        <f t="shared" si="132"/>
        <v>0</v>
      </c>
      <c r="V635" s="79">
        <f t="shared" si="133"/>
        <v>0</v>
      </c>
      <c r="W635" s="79">
        <f t="shared" si="134"/>
        <v>0</v>
      </c>
      <c r="X635" s="79">
        <f t="shared" si="135"/>
        <v>0</v>
      </c>
      <c r="Y635" s="79">
        <f t="shared" si="139"/>
        <v>173145.40000000002</v>
      </c>
    </row>
    <row r="636" spans="8:25">
      <c r="H636" s="78">
        <v>586</v>
      </c>
      <c r="I636" s="77">
        <f>IFERROR(EOMONTH(DATE($C$10,$C$9,1),586-1),"")</f>
        <v>62762</v>
      </c>
      <c r="J636" s="76">
        <f t="shared" si="136"/>
        <v>0</v>
      </c>
      <c r="K636" s="76">
        <f t="shared" si="126"/>
        <v>0</v>
      </c>
      <c r="L636" s="76">
        <f t="shared" si="127"/>
        <v>0</v>
      </c>
      <c r="M636" s="76">
        <f t="shared" si="128"/>
        <v>0</v>
      </c>
      <c r="N636" s="76">
        <f t="shared" si="129"/>
        <v>0</v>
      </c>
      <c r="O636" s="76">
        <f t="shared" si="130"/>
        <v>0</v>
      </c>
      <c r="P636" s="76">
        <f t="shared" si="137"/>
        <v>94193.249999999898</v>
      </c>
      <c r="Q636" s="78">
        <v>586</v>
      </c>
      <c r="R636" s="77">
        <f>IFERROR(EOMONTH(DATE($F$10,$F$9,1),586-1),"")</f>
        <v>62762</v>
      </c>
      <c r="S636" s="76">
        <f t="shared" si="138"/>
        <v>0</v>
      </c>
      <c r="T636" s="76">
        <f t="shared" si="131"/>
        <v>0</v>
      </c>
      <c r="U636" s="76">
        <f t="shared" si="132"/>
        <v>0</v>
      </c>
      <c r="V636" s="76">
        <f t="shared" si="133"/>
        <v>0</v>
      </c>
      <c r="W636" s="76">
        <f t="shared" si="134"/>
        <v>0</v>
      </c>
      <c r="X636" s="76">
        <f t="shared" si="135"/>
        <v>0</v>
      </c>
      <c r="Y636" s="76">
        <f t="shared" si="139"/>
        <v>173145.40000000002</v>
      </c>
    </row>
    <row r="637" spans="8:25">
      <c r="H637" s="84">
        <v>587</v>
      </c>
      <c r="I637" s="83">
        <f>IFERROR(EOMONTH(DATE($C$10,$C$9,1),587-1),"")</f>
        <v>62792</v>
      </c>
      <c r="J637" s="82">
        <f t="shared" si="136"/>
        <v>0</v>
      </c>
      <c r="K637" s="82">
        <f t="shared" si="126"/>
        <v>0</v>
      </c>
      <c r="L637" s="82">
        <f t="shared" si="127"/>
        <v>0</v>
      </c>
      <c r="M637" s="82">
        <f t="shared" si="128"/>
        <v>0</v>
      </c>
      <c r="N637" s="82">
        <f t="shared" si="129"/>
        <v>0</v>
      </c>
      <c r="O637" s="82">
        <f t="shared" si="130"/>
        <v>0</v>
      </c>
      <c r="P637" s="82">
        <f t="shared" si="137"/>
        <v>94193.249999999898</v>
      </c>
      <c r="Q637" s="81">
        <v>587</v>
      </c>
      <c r="R637" s="80">
        <f>IFERROR(EOMONTH(DATE($F$10,$F$9,1),587-1),"")</f>
        <v>62792</v>
      </c>
      <c r="S637" s="79">
        <f t="shared" si="138"/>
        <v>0</v>
      </c>
      <c r="T637" s="79">
        <f t="shared" si="131"/>
        <v>0</v>
      </c>
      <c r="U637" s="79">
        <f t="shared" si="132"/>
        <v>0</v>
      </c>
      <c r="V637" s="79">
        <f t="shared" si="133"/>
        <v>0</v>
      </c>
      <c r="W637" s="79">
        <f t="shared" si="134"/>
        <v>0</v>
      </c>
      <c r="X637" s="79">
        <f t="shared" si="135"/>
        <v>0</v>
      </c>
      <c r="Y637" s="79">
        <f t="shared" si="139"/>
        <v>173145.40000000002</v>
      </c>
    </row>
    <row r="638" spans="8:25">
      <c r="H638" s="78">
        <v>588</v>
      </c>
      <c r="I638" s="77">
        <f>IFERROR(EOMONTH(DATE($C$10,$C$9,1),588-1),"")</f>
        <v>62823</v>
      </c>
      <c r="J638" s="76">
        <f t="shared" si="136"/>
        <v>0</v>
      </c>
      <c r="K638" s="76">
        <f t="shared" si="126"/>
        <v>0</v>
      </c>
      <c r="L638" s="76">
        <f t="shared" si="127"/>
        <v>0</v>
      </c>
      <c r="M638" s="76">
        <f t="shared" si="128"/>
        <v>0</v>
      </c>
      <c r="N638" s="76">
        <f t="shared" si="129"/>
        <v>0</v>
      </c>
      <c r="O638" s="76">
        <f t="shared" si="130"/>
        <v>0</v>
      </c>
      <c r="P638" s="76">
        <f t="shared" si="137"/>
        <v>94193.249999999898</v>
      </c>
      <c r="Q638" s="78">
        <v>588</v>
      </c>
      <c r="R638" s="77">
        <f>IFERROR(EOMONTH(DATE($F$10,$F$9,1),588-1),"")</f>
        <v>62823</v>
      </c>
      <c r="S638" s="76">
        <f t="shared" si="138"/>
        <v>0</v>
      </c>
      <c r="T638" s="76">
        <f t="shared" si="131"/>
        <v>0</v>
      </c>
      <c r="U638" s="76">
        <f t="shared" si="132"/>
        <v>0</v>
      </c>
      <c r="V638" s="76">
        <f t="shared" si="133"/>
        <v>0</v>
      </c>
      <c r="W638" s="76">
        <f t="shared" si="134"/>
        <v>0</v>
      </c>
      <c r="X638" s="76">
        <f t="shared" si="135"/>
        <v>0</v>
      </c>
      <c r="Y638" s="76">
        <f t="shared" si="139"/>
        <v>173145.40000000002</v>
      </c>
    </row>
    <row r="639" spans="8:25">
      <c r="H639" s="84">
        <v>589</v>
      </c>
      <c r="I639" s="83">
        <f>IFERROR(EOMONTH(DATE($C$10,$C$9,1),589-1),"")</f>
        <v>62854</v>
      </c>
      <c r="J639" s="82">
        <f t="shared" si="136"/>
        <v>0</v>
      </c>
      <c r="K639" s="82">
        <f t="shared" si="126"/>
        <v>0</v>
      </c>
      <c r="L639" s="82">
        <f t="shared" si="127"/>
        <v>0</v>
      </c>
      <c r="M639" s="82">
        <f t="shared" si="128"/>
        <v>0</v>
      </c>
      <c r="N639" s="82">
        <f t="shared" si="129"/>
        <v>0</v>
      </c>
      <c r="O639" s="82">
        <f t="shared" si="130"/>
        <v>0</v>
      </c>
      <c r="P639" s="82">
        <f t="shared" si="137"/>
        <v>94193.249999999898</v>
      </c>
      <c r="Q639" s="81">
        <v>589</v>
      </c>
      <c r="R639" s="80">
        <f>IFERROR(EOMONTH(DATE($F$10,$F$9,1),589-1),"")</f>
        <v>62854</v>
      </c>
      <c r="S639" s="79">
        <f t="shared" si="138"/>
        <v>0</v>
      </c>
      <c r="T639" s="79">
        <f t="shared" si="131"/>
        <v>0</v>
      </c>
      <c r="U639" s="79">
        <f t="shared" si="132"/>
        <v>0</v>
      </c>
      <c r="V639" s="79">
        <f t="shared" si="133"/>
        <v>0</v>
      </c>
      <c r="W639" s="79">
        <f t="shared" si="134"/>
        <v>0</v>
      </c>
      <c r="X639" s="79">
        <f t="shared" si="135"/>
        <v>0</v>
      </c>
      <c r="Y639" s="79">
        <f t="shared" si="139"/>
        <v>173145.40000000002</v>
      </c>
    </row>
    <row r="640" spans="8:25">
      <c r="H640" s="78">
        <v>590</v>
      </c>
      <c r="I640" s="77">
        <f>IFERROR(EOMONTH(DATE($C$10,$C$9,1),590-1),"")</f>
        <v>62883</v>
      </c>
      <c r="J640" s="76">
        <f t="shared" si="136"/>
        <v>0</v>
      </c>
      <c r="K640" s="76">
        <f t="shared" si="126"/>
        <v>0</v>
      </c>
      <c r="L640" s="76">
        <f t="shared" si="127"/>
        <v>0</v>
      </c>
      <c r="M640" s="76">
        <f t="shared" si="128"/>
        <v>0</v>
      </c>
      <c r="N640" s="76">
        <f t="shared" si="129"/>
        <v>0</v>
      </c>
      <c r="O640" s="76">
        <f t="shared" si="130"/>
        <v>0</v>
      </c>
      <c r="P640" s="76">
        <f t="shared" si="137"/>
        <v>94193.249999999898</v>
      </c>
      <c r="Q640" s="78">
        <v>590</v>
      </c>
      <c r="R640" s="77">
        <f>IFERROR(EOMONTH(DATE($F$10,$F$9,1),590-1),"")</f>
        <v>62883</v>
      </c>
      <c r="S640" s="76">
        <f t="shared" si="138"/>
        <v>0</v>
      </c>
      <c r="T640" s="76">
        <f t="shared" si="131"/>
        <v>0</v>
      </c>
      <c r="U640" s="76">
        <f t="shared" si="132"/>
        <v>0</v>
      </c>
      <c r="V640" s="76">
        <f t="shared" si="133"/>
        <v>0</v>
      </c>
      <c r="W640" s="76">
        <f t="shared" si="134"/>
        <v>0</v>
      </c>
      <c r="X640" s="76">
        <f t="shared" si="135"/>
        <v>0</v>
      </c>
      <c r="Y640" s="76">
        <f t="shared" si="139"/>
        <v>173145.40000000002</v>
      </c>
    </row>
    <row r="641" spans="8:25">
      <c r="H641" s="84">
        <v>591</v>
      </c>
      <c r="I641" s="83">
        <f>IFERROR(EOMONTH(DATE($C$10,$C$9,1),591-1),"")</f>
        <v>62914</v>
      </c>
      <c r="J641" s="82">
        <f t="shared" si="136"/>
        <v>0</v>
      </c>
      <c r="K641" s="82">
        <f t="shared" si="126"/>
        <v>0</v>
      </c>
      <c r="L641" s="82">
        <f t="shared" si="127"/>
        <v>0</v>
      </c>
      <c r="M641" s="82">
        <f t="shared" si="128"/>
        <v>0</v>
      </c>
      <c r="N641" s="82">
        <f t="shared" si="129"/>
        <v>0</v>
      </c>
      <c r="O641" s="82">
        <f t="shared" si="130"/>
        <v>0</v>
      </c>
      <c r="P641" s="82">
        <f t="shared" si="137"/>
        <v>94193.249999999898</v>
      </c>
      <c r="Q641" s="81">
        <v>591</v>
      </c>
      <c r="R641" s="80">
        <f>IFERROR(EOMONTH(DATE($F$10,$F$9,1),591-1),"")</f>
        <v>62914</v>
      </c>
      <c r="S641" s="79">
        <f t="shared" si="138"/>
        <v>0</v>
      </c>
      <c r="T641" s="79">
        <f t="shared" si="131"/>
        <v>0</v>
      </c>
      <c r="U641" s="79">
        <f t="shared" si="132"/>
        <v>0</v>
      </c>
      <c r="V641" s="79">
        <f t="shared" si="133"/>
        <v>0</v>
      </c>
      <c r="W641" s="79">
        <f t="shared" si="134"/>
        <v>0</v>
      </c>
      <c r="X641" s="79">
        <f t="shared" si="135"/>
        <v>0</v>
      </c>
      <c r="Y641" s="79">
        <f t="shared" si="139"/>
        <v>173145.40000000002</v>
      </c>
    </row>
    <row r="642" spans="8:25">
      <c r="H642" s="78">
        <v>592</v>
      </c>
      <c r="I642" s="77">
        <f>IFERROR(EOMONTH(DATE($C$10,$C$9,1),592-1),"")</f>
        <v>62944</v>
      </c>
      <c r="J642" s="76">
        <f t="shared" si="136"/>
        <v>0</v>
      </c>
      <c r="K642" s="76">
        <f t="shared" si="126"/>
        <v>0</v>
      </c>
      <c r="L642" s="76">
        <f t="shared" si="127"/>
        <v>0</v>
      </c>
      <c r="M642" s="76">
        <f t="shared" si="128"/>
        <v>0</v>
      </c>
      <c r="N642" s="76">
        <f t="shared" si="129"/>
        <v>0</v>
      </c>
      <c r="O642" s="76">
        <f t="shared" si="130"/>
        <v>0</v>
      </c>
      <c r="P642" s="76">
        <f t="shared" si="137"/>
        <v>94193.249999999898</v>
      </c>
      <c r="Q642" s="78">
        <v>592</v>
      </c>
      <c r="R642" s="77">
        <f>IFERROR(EOMONTH(DATE($F$10,$F$9,1),592-1),"")</f>
        <v>62944</v>
      </c>
      <c r="S642" s="76">
        <f t="shared" si="138"/>
        <v>0</v>
      </c>
      <c r="T642" s="76">
        <f t="shared" si="131"/>
        <v>0</v>
      </c>
      <c r="U642" s="76">
        <f t="shared" si="132"/>
        <v>0</v>
      </c>
      <c r="V642" s="76">
        <f t="shared" si="133"/>
        <v>0</v>
      </c>
      <c r="W642" s="76">
        <f t="shared" si="134"/>
        <v>0</v>
      </c>
      <c r="X642" s="76">
        <f t="shared" si="135"/>
        <v>0</v>
      </c>
      <c r="Y642" s="76">
        <f t="shared" si="139"/>
        <v>173145.40000000002</v>
      </c>
    </row>
    <row r="643" spans="8:25">
      <c r="H643" s="84">
        <v>593</v>
      </c>
      <c r="I643" s="83">
        <f>IFERROR(EOMONTH(DATE($C$10,$C$9,1),593-1),"")</f>
        <v>62975</v>
      </c>
      <c r="J643" s="82">
        <f t="shared" si="136"/>
        <v>0</v>
      </c>
      <c r="K643" s="82">
        <f t="shared" si="126"/>
        <v>0</v>
      </c>
      <c r="L643" s="82">
        <f t="shared" si="127"/>
        <v>0</v>
      </c>
      <c r="M643" s="82">
        <f t="shared" si="128"/>
        <v>0</v>
      </c>
      <c r="N643" s="82">
        <f t="shared" si="129"/>
        <v>0</v>
      </c>
      <c r="O643" s="82">
        <f t="shared" si="130"/>
        <v>0</v>
      </c>
      <c r="P643" s="82">
        <f t="shared" si="137"/>
        <v>94193.249999999898</v>
      </c>
      <c r="Q643" s="81">
        <v>593</v>
      </c>
      <c r="R643" s="80">
        <f>IFERROR(EOMONTH(DATE($F$10,$F$9,1),593-1),"")</f>
        <v>62975</v>
      </c>
      <c r="S643" s="79">
        <f t="shared" si="138"/>
        <v>0</v>
      </c>
      <c r="T643" s="79">
        <f t="shared" si="131"/>
        <v>0</v>
      </c>
      <c r="U643" s="79">
        <f t="shared" si="132"/>
        <v>0</v>
      </c>
      <c r="V643" s="79">
        <f t="shared" si="133"/>
        <v>0</v>
      </c>
      <c r="W643" s="79">
        <f t="shared" si="134"/>
        <v>0</v>
      </c>
      <c r="X643" s="79">
        <f t="shared" si="135"/>
        <v>0</v>
      </c>
      <c r="Y643" s="79">
        <f t="shared" si="139"/>
        <v>173145.40000000002</v>
      </c>
    </row>
    <row r="644" spans="8:25">
      <c r="H644" s="78">
        <v>594</v>
      </c>
      <c r="I644" s="77">
        <f>IFERROR(EOMONTH(DATE($C$10,$C$9,1),594-1),"")</f>
        <v>63005</v>
      </c>
      <c r="J644" s="76">
        <f t="shared" si="136"/>
        <v>0</v>
      </c>
      <c r="K644" s="76">
        <f t="shared" si="126"/>
        <v>0</v>
      </c>
      <c r="L644" s="76">
        <f t="shared" si="127"/>
        <v>0</v>
      </c>
      <c r="M644" s="76">
        <f t="shared" si="128"/>
        <v>0</v>
      </c>
      <c r="N644" s="76">
        <f t="shared" si="129"/>
        <v>0</v>
      </c>
      <c r="O644" s="76">
        <f t="shared" si="130"/>
        <v>0</v>
      </c>
      <c r="P644" s="76">
        <f t="shared" si="137"/>
        <v>94193.249999999898</v>
      </c>
      <c r="Q644" s="78">
        <v>594</v>
      </c>
      <c r="R644" s="77">
        <f>IFERROR(EOMONTH(DATE($F$10,$F$9,1),594-1),"")</f>
        <v>63005</v>
      </c>
      <c r="S644" s="76">
        <f t="shared" si="138"/>
        <v>0</v>
      </c>
      <c r="T644" s="76">
        <f t="shared" si="131"/>
        <v>0</v>
      </c>
      <c r="U644" s="76">
        <f t="shared" si="132"/>
        <v>0</v>
      </c>
      <c r="V644" s="76">
        <f t="shared" si="133"/>
        <v>0</v>
      </c>
      <c r="W644" s="76">
        <f t="shared" si="134"/>
        <v>0</v>
      </c>
      <c r="X644" s="76">
        <f t="shared" si="135"/>
        <v>0</v>
      </c>
      <c r="Y644" s="76">
        <f t="shared" si="139"/>
        <v>173145.40000000002</v>
      </c>
    </row>
    <row r="645" spans="8:25">
      <c r="H645" s="84">
        <v>595</v>
      </c>
      <c r="I645" s="83">
        <f>IFERROR(EOMONTH(DATE($C$10,$C$9,1),595-1),"")</f>
        <v>63036</v>
      </c>
      <c r="J645" s="82">
        <f t="shared" si="136"/>
        <v>0</v>
      </c>
      <c r="K645" s="82">
        <f t="shared" si="126"/>
        <v>0</v>
      </c>
      <c r="L645" s="82">
        <f t="shared" si="127"/>
        <v>0</v>
      </c>
      <c r="M645" s="82">
        <f t="shared" si="128"/>
        <v>0</v>
      </c>
      <c r="N645" s="82">
        <f t="shared" si="129"/>
        <v>0</v>
      </c>
      <c r="O645" s="82">
        <f t="shared" si="130"/>
        <v>0</v>
      </c>
      <c r="P645" s="82">
        <f t="shared" si="137"/>
        <v>94193.249999999898</v>
      </c>
      <c r="Q645" s="81">
        <v>595</v>
      </c>
      <c r="R645" s="80">
        <f>IFERROR(EOMONTH(DATE($F$10,$F$9,1),595-1),"")</f>
        <v>63036</v>
      </c>
      <c r="S645" s="79">
        <f t="shared" si="138"/>
        <v>0</v>
      </c>
      <c r="T645" s="79">
        <f t="shared" si="131"/>
        <v>0</v>
      </c>
      <c r="U645" s="79">
        <f t="shared" si="132"/>
        <v>0</v>
      </c>
      <c r="V645" s="79">
        <f t="shared" si="133"/>
        <v>0</v>
      </c>
      <c r="W645" s="79">
        <f t="shared" si="134"/>
        <v>0</v>
      </c>
      <c r="X645" s="79">
        <f t="shared" si="135"/>
        <v>0</v>
      </c>
      <c r="Y645" s="79">
        <f t="shared" si="139"/>
        <v>173145.40000000002</v>
      </c>
    </row>
    <row r="646" spans="8:25">
      <c r="H646" s="78">
        <v>596</v>
      </c>
      <c r="I646" s="77">
        <f>IFERROR(EOMONTH(DATE($C$10,$C$9,1),596-1),"")</f>
        <v>63067</v>
      </c>
      <c r="J646" s="76">
        <f t="shared" si="136"/>
        <v>0</v>
      </c>
      <c r="K646" s="76">
        <f t="shared" si="126"/>
        <v>0</v>
      </c>
      <c r="L646" s="76">
        <f t="shared" si="127"/>
        <v>0</v>
      </c>
      <c r="M646" s="76">
        <f t="shared" si="128"/>
        <v>0</v>
      </c>
      <c r="N646" s="76">
        <f t="shared" si="129"/>
        <v>0</v>
      </c>
      <c r="O646" s="76">
        <f t="shared" si="130"/>
        <v>0</v>
      </c>
      <c r="P646" s="76">
        <f t="shared" si="137"/>
        <v>94193.249999999898</v>
      </c>
      <c r="Q646" s="78">
        <v>596</v>
      </c>
      <c r="R646" s="77">
        <f>IFERROR(EOMONTH(DATE($F$10,$F$9,1),596-1),"")</f>
        <v>63067</v>
      </c>
      <c r="S646" s="76">
        <f t="shared" si="138"/>
        <v>0</v>
      </c>
      <c r="T646" s="76">
        <f t="shared" si="131"/>
        <v>0</v>
      </c>
      <c r="U646" s="76">
        <f t="shared" si="132"/>
        <v>0</v>
      </c>
      <c r="V646" s="76">
        <f t="shared" si="133"/>
        <v>0</v>
      </c>
      <c r="W646" s="76">
        <f t="shared" si="134"/>
        <v>0</v>
      </c>
      <c r="X646" s="76">
        <f t="shared" si="135"/>
        <v>0</v>
      </c>
      <c r="Y646" s="76">
        <f t="shared" si="139"/>
        <v>173145.40000000002</v>
      </c>
    </row>
    <row r="647" spans="8:25">
      <c r="H647" s="84">
        <v>597</v>
      </c>
      <c r="I647" s="83">
        <f>IFERROR(EOMONTH(DATE($C$10,$C$9,1),597-1),"")</f>
        <v>63097</v>
      </c>
      <c r="J647" s="82">
        <f t="shared" si="136"/>
        <v>0</v>
      </c>
      <c r="K647" s="82">
        <f t="shared" si="126"/>
        <v>0</v>
      </c>
      <c r="L647" s="82">
        <f t="shared" si="127"/>
        <v>0</v>
      </c>
      <c r="M647" s="82">
        <f t="shared" si="128"/>
        <v>0</v>
      </c>
      <c r="N647" s="82">
        <f t="shared" si="129"/>
        <v>0</v>
      </c>
      <c r="O647" s="82">
        <f t="shared" si="130"/>
        <v>0</v>
      </c>
      <c r="P647" s="82">
        <f t="shared" si="137"/>
        <v>94193.249999999898</v>
      </c>
      <c r="Q647" s="81">
        <v>597</v>
      </c>
      <c r="R647" s="80">
        <f>IFERROR(EOMONTH(DATE($F$10,$F$9,1),597-1),"")</f>
        <v>63097</v>
      </c>
      <c r="S647" s="79">
        <f t="shared" si="138"/>
        <v>0</v>
      </c>
      <c r="T647" s="79">
        <f t="shared" si="131"/>
        <v>0</v>
      </c>
      <c r="U647" s="79">
        <f t="shared" si="132"/>
        <v>0</v>
      </c>
      <c r="V647" s="79">
        <f t="shared" si="133"/>
        <v>0</v>
      </c>
      <c r="W647" s="79">
        <f t="shared" si="134"/>
        <v>0</v>
      </c>
      <c r="X647" s="79">
        <f t="shared" si="135"/>
        <v>0</v>
      </c>
      <c r="Y647" s="79">
        <f t="shared" si="139"/>
        <v>173145.40000000002</v>
      </c>
    </row>
    <row r="648" spans="8:25">
      <c r="H648" s="78">
        <v>598</v>
      </c>
      <c r="I648" s="77">
        <f>IFERROR(EOMONTH(DATE($C$10,$C$9,1),598-1),"")</f>
        <v>63128</v>
      </c>
      <c r="J648" s="76">
        <f t="shared" si="136"/>
        <v>0</v>
      </c>
      <c r="K648" s="76">
        <f t="shared" si="126"/>
        <v>0</v>
      </c>
      <c r="L648" s="76">
        <f t="shared" si="127"/>
        <v>0</v>
      </c>
      <c r="M648" s="76">
        <f t="shared" si="128"/>
        <v>0</v>
      </c>
      <c r="N648" s="76">
        <f t="shared" si="129"/>
        <v>0</v>
      </c>
      <c r="O648" s="76">
        <f t="shared" si="130"/>
        <v>0</v>
      </c>
      <c r="P648" s="76">
        <f t="shared" si="137"/>
        <v>94193.249999999898</v>
      </c>
      <c r="Q648" s="78">
        <v>598</v>
      </c>
      <c r="R648" s="77">
        <f>IFERROR(EOMONTH(DATE($F$10,$F$9,1),598-1),"")</f>
        <v>63128</v>
      </c>
      <c r="S648" s="76">
        <f t="shared" si="138"/>
        <v>0</v>
      </c>
      <c r="T648" s="76">
        <f t="shared" si="131"/>
        <v>0</v>
      </c>
      <c r="U648" s="76">
        <f t="shared" si="132"/>
        <v>0</v>
      </c>
      <c r="V648" s="76">
        <f t="shared" si="133"/>
        <v>0</v>
      </c>
      <c r="W648" s="76">
        <f t="shared" si="134"/>
        <v>0</v>
      </c>
      <c r="X648" s="76">
        <f t="shared" si="135"/>
        <v>0</v>
      </c>
      <c r="Y648" s="76">
        <f t="shared" si="139"/>
        <v>173145.40000000002</v>
      </c>
    </row>
    <row r="649" spans="8:25">
      <c r="H649" s="84">
        <v>599</v>
      </c>
      <c r="I649" s="83">
        <f>IFERROR(EOMONTH(DATE($C$10,$C$9,1),599-1),"")</f>
        <v>63158</v>
      </c>
      <c r="J649" s="82">
        <f t="shared" si="136"/>
        <v>0</v>
      </c>
      <c r="K649" s="82">
        <f t="shared" si="126"/>
        <v>0</v>
      </c>
      <c r="L649" s="82">
        <f t="shared" si="127"/>
        <v>0</v>
      </c>
      <c r="M649" s="82">
        <f t="shared" si="128"/>
        <v>0</v>
      </c>
      <c r="N649" s="82">
        <f t="shared" si="129"/>
        <v>0</v>
      </c>
      <c r="O649" s="82">
        <f t="shared" si="130"/>
        <v>0</v>
      </c>
      <c r="P649" s="82">
        <f t="shared" si="137"/>
        <v>94193.249999999898</v>
      </c>
      <c r="Q649" s="81">
        <v>599</v>
      </c>
      <c r="R649" s="80">
        <f>IFERROR(EOMONTH(DATE($F$10,$F$9,1),599-1),"")</f>
        <v>63158</v>
      </c>
      <c r="S649" s="79">
        <f t="shared" si="138"/>
        <v>0</v>
      </c>
      <c r="T649" s="79">
        <f t="shared" si="131"/>
        <v>0</v>
      </c>
      <c r="U649" s="79">
        <f t="shared" si="132"/>
        <v>0</v>
      </c>
      <c r="V649" s="79">
        <f t="shared" si="133"/>
        <v>0</v>
      </c>
      <c r="W649" s="79">
        <f t="shared" si="134"/>
        <v>0</v>
      </c>
      <c r="X649" s="79">
        <f t="shared" si="135"/>
        <v>0</v>
      </c>
      <c r="Y649" s="79">
        <f t="shared" si="139"/>
        <v>173145.40000000002</v>
      </c>
    </row>
    <row r="650" spans="8:25">
      <c r="H650" s="78">
        <v>600</v>
      </c>
      <c r="I650" s="77">
        <f>IFERROR(EOMONTH(DATE($C$10,$C$9,1),600-1),"")</f>
        <v>63189</v>
      </c>
      <c r="J650" s="76">
        <f t="shared" si="136"/>
        <v>0</v>
      </c>
      <c r="K650" s="76">
        <f t="shared" si="126"/>
        <v>0</v>
      </c>
      <c r="L650" s="76">
        <f t="shared" si="127"/>
        <v>0</v>
      </c>
      <c r="M650" s="76">
        <f t="shared" si="128"/>
        <v>0</v>
      </c>
      <c r="N650" s="76">
        <f t="shared" si="129"/>
        <v>0</v>
      </c>
      <c r="O650" s="76">
        <f t="shared" si="130"/>
        <v>0</v>
      </c>
      <c r="P650" s="76">
        <f t="shared" si="137"/>
        <v>94193.249999999898</v>
      </c>
      <c r="Q650" s="78">
        <v>600</v>
      </c>
      <c r="R650" s="77">
        <f>IFERROR(EOMONTH(DATE($F$10,$F$9,1),600-1),"")</f>
        <v>63189</v>
      </c>
      <c r="S650" s="76">
        <f t="shared" si="138"/>
        <v>0</v>
      </c>
      <c r="T650" s="76">
        <f t="shared" si="131"/>
        <v>0</v>
      </c>
      <c r="U650" s="76">
        <f t="shared" si="132"/>
        <v>0</v>
      </c>
      <c r="V650" s="76">
        <f t="shared" si="133"/>
        <v>0</v>
      </c>
      <c r="W650" s="76">
        <f t="shared" si="134"/>
        <v>0</v>
      </c>
      <c r="X650" s="76">
        <f t="shared" si="135"/>
        <v>0</v>
      </c>
      <c r="Y650" s="76">
        <f t="shared" si="139"/>
        <v>173145.40000000002</v>
      </c>
    </row>
  </sheetData>
  <mergeCells count="16">
    <mergeCell ref="B2:O2"/>
    <mergeCell ref="B5:C5"/>
    <mergeCell ref="E5:F5"/>
    <mergeCell ref="A1:X1"/>
    <mergeCell ref="B44:F44"/>
    <mergeCell ref="B46:G46"/>
    <mergeCell ref="B48:O48"/>
    <mergeCell ref="Q48:Y48"/>
    <mergeCell ref="E4:F4"/>
    <mergeCell ref="B4:C4"/>
    <mergeCell ref="B16:C16"/>
    <mergeCell ref="E16:F16"/>
    <mergeCell ref="B20:C20"/>
    <mergeCell ref="E20:F20"/>
    <mergeCell ref="B29:C29"/>
    <mergeCell ref="B35:F35"/>
  </mergeCells>
  <dataValidations count="1">
    <dataValidation type="list" showErrorMessage="1" errorTitle="Invalid Entry" error="Please select &quot;Repayment&quot; or &quot;Interest Only&quot;" sqref="C11 F11" xr:uid="{00000000-0002-0000-0200-000000000000}">
      <formula1>"Repayment,Interest Only"</formula1>
      <formula2>0</formula2>
    </dataValidation>
  </dataValidations>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7AA4E-D80F-4DB8-A926-B4783B73A8FB}">
  <sheetPr>
    <tabColor rgb="FF967EB0"/>
  </sheetPr>
  <dimension ref="B1:D48"/>
  <sheetViews>
    <sheetView showGridLines="0" workbookViewId="0">
      <pane ySplit="1" topLeftCell="A2" activePane="bottomLeft" state="frozen"/>
      <selection pane="bottomLeft"/>
    </sheetView>
  </sheetViews>
  <sheetFormatPr defaultRowHeight="15"/>
  <cols>
    <col min="1" max="1" width="2.5703125" customWidth="1"/>
    <col min="2" max="2" width="21.140625" customWidth="1"/>
    <col min="3" max="3" width="21" customWidth="1"/>
    <col min="4" max="4" width="18.85546875" customWidth="1"/>
  </cols>
  <sheetData>
    <row r="1" spans="2:4" s="10" customFormat="1" ht="72.75" customHeight="1">
      <c r="B1" s="11" t="s">
        <v>20</v>
      </c>
    </row>
    <row r="3" spans="2:4">
      <c r="B3" s="1" t="s">
        <v>21</v>
      </c>
      <c r="C3" s="1" t="s">
        <v>22</v>
      </c>
      <c r="D3" s="1" t="s">
        <v>23</v>
      </c>
    </row>
    <row r="4" spans="2:4">
      <c r="B4" t="s">
        <v>44</v>
      </c>
      <c r="C4" t="s">
        <v>102</v>
      </c>
      <c r="D4" t="s">
        <v>29</v>
      </c>
    </row>
    <row r="5" spans="2:4">
      <c r="B5" t="s">
        <v>120</v>
      </c>
      <c r="C5" t="s">
        <v>121</v>
      </c>
      <c r="D5" t="s">
        <v>29</v>
      </c>
    </row>
    <row r="6" spans="2:4">
      <c r="B6" t="s">
        <v>122</v>
      </c>
      <c r="C6" t="s">
        <v>121</v>
      </c>
      <c r="D6" t="s">
        <v>29</v>
      </c>
    </row>
    <row r="7" spans="2:4">
      <c r="B7" t="s">
        <v>123</v>
      </c>
      <c r="C7" t="s">
        <v>121</v>
      </c>
      <c r="D7" t="s">
        <v>29</v>
      </c>
    </row>
    <row r="8" spans="2:4">
      <c r="B8" t="s">
        <v>28</v>
      </c>
      <c r="C8" t="s">
        <v>98</v>
      </c>
      <c r="D8" t="s">
        <v>29</v>
      </c>
    </row>
    <row r="9" spans="2:4">
      <c r="B9" t="s">
        <v>124</v>
      </c>
      <c r="C9" t="s">
        <v>98</v>
      </c>
      <c r="D9" t="s">
        <v>29</v>
      </c>
    </row>
    <row r="10" spans="2:4">
      <c r="B10" t="s">
        <v>38</v>
      </c>
      <c r="C10" t="s">
        <v>98</v>
      </c>
      <c r="D10" t="s">
        <v>29</v>
      </c>
    </row>
    <row r="11" spans="2:4">
      <c r="B11" t="s">
        <v>125</v>
      </c>
      <c r="C11" t="s">
        <v>121</v>
      </c>
      <c r="D11" t="s">
        <v>29</v>
      </c>
    </row>
    <row r="12" spans="2:4">
      <c r="B12" t="s">
        <v>126</v>
      </c>
      <c r="C12" t="s">
        <v>102</v>
      </c>
      <c r="D12" t="s">
        <v>29</v>
      </c>
    </row>
    <row r="13" spans="2:4">
      <c r="B13" t="s">
        <v>127</v>
      </c>
      <c r="C13" t="s">
        <v>121</v>
      </c>
      <c r="D13" t="s">
        <v>25</v>
      </c>
    </row>
    <row r="14" spans="2:4">
      <c r="B14" t="s">
        <v>128</v>
      </c>
      <c r="C14" t="s">
        <v>102</v>
      </c>
      <c r="D14" t="s">
        <v>25</v>
      </c>
    </row>
    <row r="15" spans="2:4">
      <c r="B15" t="s">
        <v>129</v>
      </c>
      <c r="C15" t="s">
        <v>95</v>
      </c>
      <c r="D15" t="s">
        <v>25</v>
      </c>
    </row>
    <row r="16" spans="2:4">
      <c r="B16" t="s">
        <v>130</v>
      </c>
      <c r="C16" t="s">
        <v>98</v>
      </c>
      <c r="D16" t="s">
        <v>25</v>
      </c>
    </row>
    <row r="17" spans="2:4">
      <c r="B17" t="s">
        <v>24</v>
      </c>
      <c r="C17" t="s">
        <v>95</v>
      </c>
      <c r="D17" t="s">
        <v>25</v>
      </c>
    </row>
    <row r="18" spans="2:4">
      <c r="B18" t="s">
        <v>26</v>
      </c>
      <c r="C18" t="s">
        <v>96</v>
      </c>
      <c r="D18" t="s">
        <v>25</v>
      </c>
    </row>
    <row r="19" spans="2:4">
      <c r="B19" t="s">
        <v>131</v>
      </c>
      <c r="C19" t="s">
        <v>102</v>
      </c>
      <c r="D19" t="s">
        <v>25</v>
      </c>
    </row>
    <row r="20" spans="2:4">
      <c r="B20" t="s">
        <v>27</v>
      </c>
      <c r="C20" t="s">
        <v>97</v>
      </c>
      <c r="D20" t="s">
        <v>25</v>
      </c>
    </row>
    <row r="21" spans="2:4">
      <c r="B21" t="s">
        <v>30</v>
      </c>
      <c r="C21" t="s">
        <v>97</v>
      </c>
      <c r="D21" t="s">
        <v>25</v>
      </c>
    </row>
    <row r="22" spans="2:4">
      <c r="B22" t="s">
        <v>31</v>
      </c>
      <c r="C22" t="s">
        <v>99</v>
      </c>
      <c r="D22" t="s">
        <v>25</v>
      </c>
    </row>
    <row r="23" spans="2:4">
      <c r="B23" t="s">
        <v>32</v>
      </c>
      <c r="C23" t="s">
        <v>95</v>
      </c>
      <c r="D23" t="s">
        <v>25</v>
      </c>
    </row>
    <row r="24" spans="2:4">
      <c r="B24" t="s">
        <v>132</v>
      </c>
      <c r="C24" t="s">
        <v>99</v>
      </c>
      <c r="D24" t="s">
        <v>25</v>
      </c>
    </row>
    <row r="25" spans="2:4">
      <c r="B25" t="s">
        <v>33</v>
      </c>
      <c r="C25" t="s">
        <v>95</v>
      </c>
      <c r="D25" t="s">
        <v>25</v>
      </c>
    </row>
    <row r="26" spans="2:4">
      <c r="B26" t="s">
        <v>35</v>
      </c>
      <c r="C26" t="s">
        <v>95</v>
      </c>
      <c r="D26" t="s">
        <v>25</v>
      </c>
    </row>
    <row r="27" spans="2:4">
      <c r="B27" t="s">
        <v>36</v>
      </c>
      <c r="C27" t="s">
        <v>100</v>
      </c>
      <c r="D27" t="s">
        <v>25</v>
      </c>
    </row>
    <row r="28" spans="2:4">
      <c r="B28" t="s">
        <v>37</v>
      </c>
      <c r="C28" t="s">
        <v>95</v>
      </c>
      <c r="D28" t="s">
        <v>25</v>
      </c>
    </row>
    <row r="29" spans="2:4">
      <c r="B29" t="s">
        <v>133</v>
      </c>
      <c r="C29" t="s">
        <v>95</v>
      </c>
      <c r="D29" t="s">
        <v>25</v>
      </c>
    </row>
    <row r="30" spans="2:4">
      <c r="B30" t="s">
        <v>134</v>
      </c>
      <c r="C30" t="s">
        <v>135</v>
      </c>
      <c r="D30" t="s">
        <v>25</v>
      </c>
    </row>
    <row r="31" spans="2:4">
      <c r="B31" t="s">
        <v>136</v>
      </c>
      <c r="C31" t="s">
        <v>102</v>
      </c>
      <c r="D31" t="s">
        <v>25</v>
      </c>
    </row>
    <row r="32" spans="2:4">
      <c r="B32" t="s">
        <v>137</v>
      </c>
      <c r="C32" t="s">
        <v>95</v>
      </c>
      <c r="D32" t="s">
        <v>25</v>
      </c>
    </row>
    <row r="33" spans="2:4">
      <c r="B33" t="s">
        <v>138</v>
      </c>
      <c r="C33" t="s">
        <v>102</v>
      </c>
      <c r="D33" t="s">
        <v>25</v>
      </c>
    </row>
    <row r="34" spans="2:4">
      <c r="B34" t="s">
        <v>139</v>
      </c>
      <c r="C34" t="s">
        <v>98</v>
      </c>
      <c r="D34" t="s">
        <v>25</v>
      </c>
    </row>
    <row r="35" spans="2:4">
      <c r="B35" t="s">
        <v>140</v>
      </c>
      <c r="C35" t="s">
        <v>102</v>
      </c>
      <c r="D35" t="s">
        <v>25</v>
      </c>
    </row>
    <row r="36" spans="2:4">
      <c r="B36" t="s">
        <v>141</v>
      </c>
      <c r="C36" t="s">
        <v>100</v>
      </c>
      <c r="D36" t="s">
        <v>25</v>
      </c>
    </row>
    <row r="37" spans="2:4">
      <c r="B37" t="s">
        <v>39</v>
      </c>
      <c r="C37" t="s">
        <v>101</v>
      </c>
      <c r="D37" t="s">
        <v>25</v>
      </c>
    </row>
    <row r="38" spans="2:4">
      <c r="B38" t="s">
        <v>142</v>
      </c>
      <c r="C38" t="s">
        <v>101</v>
      </c>
      <c r="D38" t="s">
        <v>25</v>
      </c>
    </row>
    <row r="39" spans="2:4">
      <c r="B39" t="s">
        <v>143</v>
      </c>
      <c r="C39" t="s">
        <v>102</v>
      </c>
      <c r="D39" t="s">
        <v>25</v>
      </c>
    </row>
    <row r="40" spans="2:4">
      <c r="B40" t="s">
        <v>144</v>
      </c>
      <c r="C40" t="s">
        <v>98</v>
      </c>
      <c r="D40" t="s">
        <v>25</v>
      </c>
    </row>
    <row r="41" spans="2:4">
      <c r="B41" t="s">
        <v>41</v>
      </c>
      <c r="C41" t="s">
        <v>100</v>
      </c>
      <c r="D41" t="s">
        <v>25</v>
      </c>
    </row>
    <row r="42" spans="2:4">
      <c r="B42" t="s">
        <v>145</v>
      </c>
      <c r="C42" t="s">
        <v>96</v>
      </c>
      <c r="D42" t="s">
        <v>25</v>
      </c>
    </row>
    <row r="43" spans="2:4">
      <c r="B43" t="s">
        <v>146</v>
      </c>
      <c r="C43" t="s">
        <v>121</v>
      </c>
      <c r="D43" t="s">
        <v>25</v>
      </c>
    </row>
    <row r="44" spans="2:4">
      <c r="B44" t="s">
        <v>184</v>
      </c>
      <c r="C44" t="s">
        <v>102</v>
      </c>
      <c r="D44" t="s">
        <v>25</v>
      </c>
    </row>
    <row r="45" spans="2:4">
      <c r="B45" t="s">
        <v>147</v>
      </c>
      <c r="C45" t="s">
        <v>102</v>
      </c>
      <c r="D45" t="s">
        <v>25</v>
      </c>
    </row>
    <row r="46" spans="2:4">
      <c r="B46" t="s">
        <v>148</v>
      </c>
      <c r="C46" t="s">
        <v>99</v>
      </c>
      <c r="D46" t="s">
        <v>25</v>
      </c>
    </row>
    <row r="47" spans="2:4">
      <c r="B47" t="s">
        <v>149</v>
      </c>
      <c r="C47" t="s">
        <v>150</v>
      </c>
      <c r="D47" t="s">
        <v>25</v>
      </c>
    </row>
    <row r="48" spans="2:4">
      <c r="B48" t="s">
        <v>151</v>
      </c>
      <c r="C48" t="s">
        <v>100</v>
      </c>
      <c r="D48" t="s">
        <v>25</v>
      </c>
    </row>
  </sheetData>
  <dataValidations count="2">
    <dataValidation type="list" allowBlank="1" showInputMessage="1" showErrorMessage="1" sqref="D4:D48" xr:uid="{5B8D4CD1-5452-4673-94B7-F482F7CE05DD}">
      <formula1>"Income,Expense"</formula1>
    </dataValidation>
    <dataValidation allowBlank="1" showInputMessage="1" showErrorMessage="1" promptTitle="Step 1: Set up Categories" prompt="These categories dictate how your income and expenses are grouped in the reports. Add or remove categories and subcategories as required. Deselect this cell to close this message." sqref="A1" xr:uid="{9B743E84-E603-46FB-BBCD-0D97FADB70F1}"/>
  </dataValidation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A903F-4BAB-4FB7-9C23-3C8D3D8C08A9}">
  <sheetPr>
    <tabColor theme="7" tint="0.39997558519241921"/>
  </sheetPr>
  <dimension ref="B1:P47"/>
  <sheetViews>
    <sheetView showGridLines="0" workbookViewId="0">
      <pane ySplit="1" topLeftCell="A2" activePane="bottomLeft" state="frozen"/>
      <selection pane="bottomLeft"/>
    </sheetView>
  </sheetViews>
  <sheetFormatPr defaultRowHeight="15"/>
  <cols>
    <col min="1" max="1" width="3.7109375" customWidth="1"/>
    <col min="2" max="2" width="8.140625" customWidth="1"/>
    <col min="3" max="3" width="20" customWidth="1"/>
    <col min="4" max="15" width="9" customWidth="1"/>
  </cols>
  <sheetData>
    <row r="1" spans="2:15" s="43" customFormat="1" ht="72.75" customHeight="1">
      <c r="C1" s="44" t="s">
        <v>78</v>
      </c>
    </row>
    <row r="3" spans="2:15">
      <c r="B3" t="s">
        <v>79</v>
      </c>
      <c r="C3" t="s">
        <v>21</v>
      </c>
      <c r="D3" t="s">
        <v>15</v>
      </c>
      <c r="E3" t="s">
        <v>16</v>
      </c>
      <c r="F3" t="s">
        <v>17</v>
      </c>
      <c r="G3" t="s">
        <v>18</v>
      </c>
      <c r="H3" t="s">
        <v>19</v>
      </c>
      <c r="I3" t="s">
        <v>85</v>
      </c>
      <c r="J3" t="s">
        <v>86</v>
      </c>
      <c r="K3" t="s">
        <v>87</v>
      </c>
      <c r="L3" t="s">
        <v>88</v>
      </c>
      <c r="M3" t="s">
        <v>89</v>
      </c>
      <c r="N3" t="s">
        <v>90</v>
      </c>
      <c r="O3" t="s">
        <v>13</v>
      </c>
    </row>
    <row r="4" spans="2:15">
      <c r="B4">
        <v>2026</v>
      </c>
      <c r="C4" t="s">
        <v>44</v>
      </c>
      <c r="D4" s="19">
        <f>'🏠 Start Here!'!$K$11</f>
        <v>4450</v>
      </c>
      <c r="E4" s="19">
        <f>'🏠 Start Here!'!$K$11</f>
        <v>4450</v>
      </c>
      <c r="F4" s="19">
        <f>'🏠 Start Here!'!$K$11</f>
        <v>4450</v>
      </c>
      <c r="G4" s="19">
        <f>'🏠 Start Here!'!$K$11</f>
        <v>4450</v>
      </c>
      <c r="H4" s="19">
        <f>'🏠 Start Here!'!$K$11</f>
        <v>4450</v>
      </c>
      <c r="I4" s="19">
        <f>'🏠 Start Here!'!$K$11</f>
        <v>4450</v>
      </c>
      <c r="J4" s="19">
        <f>'🏠 Start Here!'!$K$11</f>
        <v>4450</v>
      </c>
      <c r="K4" s="19">
        <f>'🏠 Start Here!'!$K$11</f>
        <v>4450</v>
      </c>
      <c r="L4" s="19">
        <f>'🏠 Start Here!'!$K$11</f>
        <v>4450</v>
      </c>
      <c r="M4" s="19">
        <f>'🏠 Start Here!'!$K$11</f>
        <v>4450</v>
      </c>
      <c r="N4" s="19">
        <f>'🏠 Start Here!'!$K$11</f>
        <v>4450</v>
      </c>
      <c r="O4" s="19">
        <f>'🏠 Start Here!'!$K$11</f>
        <v>4450</v>
      </c>
    </row>
    <row r="5" spans="2:15">
      <c r="B5">
        <v>2026</v>
      </c>
      <c r="C5" t="s">
        <v>120</v>
      </c>
      <c r="D5" s="19">
        <f>'🏠 Start Here!'!$K$4</f>
        <v>0</v>
      </c>
      <c r="E5" s="19">
        <f>'🏠 Start Here!'!$K$4</f>
        <v>0</v>
      </c>
      <c r="F5" s="19">
        <f>'🏠 Start Here!'!$K$4</f>
        <v>0</v>
      </c>
      <c r="G5" s="19">
        <f>'🏠 Start Here!'!$K$4</f>
        <v>0</v>
      </c>
      <c r="H5" s="19">
        <f>'🏠 Start Here!'!$K$4</f>
        <v>0</v>
      </c>
      <c r="I5" s="19">
        <f>'🏠 Start Here!'!$K$4</f>
        <v>0</v>
      </c>
      <c r="J5" s="19">
        <f>'🏠 Start Here!'!$K$4</f>
        <v>0</v>
      </c>
      <c r="K5" s="19">
        <f>'🏠 Start Here!'!$K$4</f>
        <v>0</v>
      </c>
      <c r="L5" s="19">
        <f>'🏠 Start Here!'!$K$4</f>
        <v>0</v>
      </c>
      <c r="M5" s="19">
        <f>'🏠 Start Here!'!$K$4</f>
        <v>0</v>
      </c>
      <c r="N5" s="19">
        <f>'🏠 Start Here!'!$K$4</f>
        <v>0</v>
      </c>
      <c r="O5" s="19">
        <f>'🏠 Start Here!'!$K$4</f>
        <v>0</v>
      </c>
    </row>
    <row r="6" spans="2:15">
      <c r="B6">
        <v>2026</v>
      </c>
      <c r="C6" t="s">
        <v>122</v>
      </c>
      <c r="D6" s="19">
        <f>'🏠 Start Here!'!$K$5</f>
        <v>0</v>
      </c>
      <c r="E6" s="19">
        <f>'🏠 Start Here!'!$K$5</f>
        <v>0</v>
      </c>
      <c r="F6" s="19">
        <f>'🏠 Start Here!'!$K$5</f>
        <v>0</v>
      </c>
      <c r="G6" s="19">
        <f>'🏠 Start Here!'!$K$5</f>
        <v>0</v>
      </c>
      <c r="H6" s="19">
        <f>'🏠 Start Here!'!$K$5</f>
        <v>0</v>
      </c>
      <c r="I6" s="19">
        <f>'🏠 Start Here!'!$K$5</f>
        <v>0</v>
      </c>
      <c r="J6" s="19">
        <f>'🏠 Start Here!'!$K$5</f>
        <v>0</v>
      </c>
      <c r="K6" s="19">
        <f>'🏠 Start Here!'!$K$5</f>
        <v>0</v>
      </c>
      <c r="L6" s="19">
        <f>'🏠 Start Here!'!$K$5</f>
        <v>0</v>
      </c>
      <c r="M6" s="19">
        <f>'🏠 Start Here!'!$K$5</f>
        <v>0</v>
      </c>
      <c r="N6" s="19">
        <f>'🏠 Start Here!'!$K$5</f>
        <v>0</v>
      </c>
      <c r="O6" s="19">
        <f>'🏠 Start Here!'!$K$5</f>
        <v>0</v>
      </c>
    </row>
    <row r="7" spans="2:15">
      <c r="B7">
        <v>2026</v>
      </c>
      <c r="C7" t="s">
        <v>123</v>
      </c>
      <c r="D7" s="19">
        <f>'🏠 Start Here!'!$K$6</f>
        <v>0</v>
      </c>
      <c r="E7" s="19">
        <f>'🏠 Start Here!'!$K$6</f>
        <v>0</v>
      </c>
      <c r="F7" s="19">
        <f>'🏠 Start Here!'!$K$6</f>
        <v>0</v>
      </c>
      <c r="G7" s="19">
        <f>'🏠 Start Here!'!$K$6</f>
        <v>0</v>
      </c>
      <c r="H7" s="19">
        <f>'🏠 Start Here!'!$K$6</f>
        <v>0</v>
      </c>
      <c r="I7" s="19">
        <f>'🏠 Start Here!'!$K$6</f>
        <v>0</v>
      </c>
      <c r="J7" s="19">
        <f>'🏠 Start Here!'!$K$6</f>
        <v>0</v>
      </c>
      <c r="K7" s="19">
        <f>'🏠 Start Here!'!$K$6</f>
        <v>0</v>
      </c>
      <c r="L7" s="19">
        <f>'🏠 Start Here!'!$K$6</f>
        <v>0</v>
      </c>
      <c r="M7" s="19">
        <f>'🏠 Start Here!'!$K$6</f>
        <v>0</v>
      </c>
      <c r="N7" s="19">
        <f>'🏠 Start Here!'!$K$6</f>
        <v>0</v>
      </c>
      <c r="O7" s="19">
        <f>'🏠 Start Here!'!$K$6</f>
        <v>0</v>
      </c>
    </row>
    <row r="8" spans="2:15">
      <c r="B8">
        <v>2026</v>
      </c>
      <c r="C8" t="s">
        <v>28</v>
      </c>
      <c r="D8" s="19">
        <f>'🏠 Start Here!'!$K$7</f>
        <v>0</v>
      </c>
      <c r="E8" s="19">
        <f>'🏠 Start Here!'!$K$7</f>
        <v>0</v>
      </c>
      <c r="F8" s="19">
        <f>'🏠 Start Here!'!$K$7</f>
        <v>0</v>
      </c>
      <c r="G8" s="19">
        <f>'🏠 Start Here!'!$K$7</f>
        <v>0</v>
      </c>
      <c r="H8" s="19">
        <f>'🏠 Start Here!'!$K$7</f>
        <v>0</v>
      </c>
      <c r="I8" s="19">
        <f>'🏠 Start Here!'!$K$7</f>
        <v>0</v>
      </c>
      <c r="J8" s="19">
        <f>'🏠 Start Here!'!$K$7</f>
        <v>0</v>
      </c>
      <c r="K8" s="19">
        <f>'🏠 Start Here!'!$K$7</f>
        <v>0</v>
      </c>
      <c r="L8" s="19">
        <f>'🏠 Start Here!'!$K$7</f>
        <v>0</v>
      </c>
      <c r="M8" s="19">
        <f>'🏠 Start Here!'!$K$7</f>
        <v>0</v>
      </c>
      <c r="N8" s="19">
        <f>'🏠 Start Here!'!$K$7</f>
        <v>0</v>
      </c>
      <c r="O8" s="19">
        <f>'🏠 Start Here!'!$K$7</f>
        <v>0</v>
      </c>
    </row>
    <row r="9" spans="2:15">
      <c r="B9">
        <v>2026</v>
      </c>
      <c r="C9" t="s">
        <v>124</v>
      </c>
      <c r="D9" s="19">
        <v>0</v>
      </c>
      <c r="E9" s="19">
        <v>0</v>
      </c>
      <c r="F9" s="19">
        <v>0</v>
      </c>
      <c r="G9" s="19">
        <v>0</v>
      </c>
      <c r="H9" s="19">
        <v>0</v>
      </c>
      <c r="I9" s="19">
        <v>0</v>
      </c>
      <c r="J9" s="19">
        <v>0</v>
      </c>
      <c r="K9" s="19">
        <v>0</v>
      </c>
      <c r="L9" s="19">
        <v>0</v>
      </c>
      <c r="M9" s="19">
        <v>0</v>
      </c>
      <c r="N9" s="19">
        <v>0</v>
      </c>
      <c r="O9" s="19">
        <v>0</v>
      </c>
    </row>
    <row r="10" spans="2:15">
      <c r="B10">
        <v>2026</v>
      </c>
      <c r="C10" t="s">
        <v>38</v>
      </c>
      <c r="D10" s="19">
        <f>'🏠 Start Here!'!$K$8</f>
        <v>0</v>
      </c>
      <c r="E10" s="19">
        <f>'🏠 Start Here!'!$K$8</f>
        <v>0</v>
      </c>
      <c r="F10" s="19">
        <f>'🏠 Start Here!'!$K$8</f>
        <v>0</v>
      </c>
      <c r="G10" s="19">
        <f>'🏠 Start Here!'!$K$8</f>
        <v>0</v>
      </c>
      <c r="H10" s="19">
        <f>'🏠 Start Here!'!$K$8</f>
        <v>0</v>
      </c>
      <c r="I10" s="19">
        <f>'🏠 Start Here!'!$K$8</f>
        <v>0</v>
      </c>
      <c r="J10" s="19">
        <f>'🏠 Start Here!'!$K$8</f>
        <v>0</v>
      </c>
      <c r="K10" s="19">
        <f>'🏠 Start Here!'!$K$8</f>
        <v>0</v>
      </c>
      <c r="L10" s="19">
        <f>'🏠 Start Here!'!$K$8</f>
        <v>0</v>
      </c>
      <c r="M10" s="19">
        <f>'🏠 Start Here!'!$K$8</f>
        <v>0</v>
      </c>
      <c r="N10" s="19">
        <f>'🏠 Start Here!'!$K$8</f>
        <v>0</v>
      </c>
      <c r="O10" s="19">
        <f>'🏠 Start Here!'!$K$8</f>
        <v>0</v>
      </c>
    </row>
    <row r="11" spans="2:15">
      <c r="B11">
        <v>2026</v>
      </c>
      <c r="C11" t="s">
        <v>125</v>
      </c>
      <c r="D11" s="19">
        <f>'🏠 Start Here!'!$K$9</f>
        <v>0</v>
      </c>
      <c r="E11" s="19">
        <f>'🏠 Start Here!'!$K$9</f>
        <v>0</v>
      </c>
      <c r="F11" s="19">
        <f>'🏠 Start Here!'!$K$9</f>
        <v>0</v>
      </c>
      <c r="G11" s="19">
        <f>'🏠 Start Here!'!$K$9</f>
        <v>0</v>
      </c>
      <c r="H11" s="19">
        <f>'🏠 Start Here!'!$K$9</f>
        <v>0</v>
      </c>
      <c r="I11" s="19">
        <f>'🏠 Start Here!'!$K$9</f>
        <v>0</v>
      </c>
      <c r="J11" s="19">
        <f>'🏠 Start Here!'!$K$9</f>
        <v>0</v>
      </c>
      <c r="K11" s="19">
        <f>'🏠 Start Here!'!$K$9</f>
        <v>0</v>
      </c>
      <c r="L11" s="19">
        <f>'🏠 Start Here!'!$K$9</f>
        <v>0</v>
      </c>
      <c r="M11" s="19">
        <f>'🏠 Start Here!'!$K$9</f>
        <v>0</v>
      </c>
      <c r="N11" s="19">
        <f>'🏠 Start Here!'!$K$9</f>
        <v>0</v>
      </c>
      <c r="O11" s="19">
        <f>'🏠 Start Here!'!$K$9</f>
        <v>0</v>
      </c>
    </row>
    <row r="12" spans="2:15">
      <c r="B12">
        <v>2026</v>
      </c>
      <c r="C12" t="s">
        <v>126</v>
      </c>
      <c r="D12" s="19">
        <f>'🏠 Start Here!'!$K$10</f>
        <v>0</v>
      </c>
      <c r="E12" s="19">
        <f>'🏠 Start Here!'!$K$10</f>
        <v>0</v>
      </c>
      <c r="F12" s="19">
        <f>'🏠 Start Here!'!$K$10</f>
        <v>0</v>
      </c>
      <c r="G12" s="19">
        <f>'🏠 Start Here!'!$K$10</f>
        <v>0</v>
      </c>
      <c r="H12" s="19">
        <f>'🏠 Start Here!'!$K$10</f>
        <v>0</v>
      </c>
      <c r="I12" s="19">
        <f>'🏠 Start Here!'!$K$10</f>
        <v>0</v>
      </c>
      <c r="J12" s="19">
        <f>'🏠 Start Here!'!$K$10</f>
        <v>0</v>
      </c>
      <c r="K12" s="19">
        <f>'🏠 Start Here!'!$K$10</f>
        <v>0</v>
      </c>
      <c r="L12" s="19">
        <f>'🏠 Start Here!'!$K$10</f>
        <v>0</v>
      </c>
      <c r="M12" s="19">
        <f>'🏠 Start Here!'!$K$10</f>
        <v>0</v>
      </c>
      <c r="N12" s="19">
        <f>'🏠 Start Here!'!$K$10</f>
        <v>0</v>
      </c>
      <c r="O12" s="19">
        <f>'🏠 Start Here!'!$K$10</f>
        <v>0</v>
      </c>
    </row>
    <row r="13" spans="2:15">
      <c r="B13">
        <v>2026</v>
      </c>
      <c r="C13" t="s">
        <v>127</v>
      </c>
      <c r="D13" s="19">
        <v>-5</v>
      </c>
      <c r="E13" s="19">
        <v>-5</v>
      </c>
      <c r="F13" s="19">
        <v>-5</v>
      </c>
      <c r="G13" s="19">
        <v>-5</v>
      </c>
      <c r="H13" s="19">
        <v>-5</v>
      </c>
      <c r="I13" s="19">
        <v>-5</v>
      </c>
      <c r="J13" s="19">
        <v>-5</v>
      </c>
      <c r="K13" s="19">
        <v>-5</v>
      </c>
      <c r="L13" s="19">
        <v>-5</v>
      </c>
      <c r="M13" s="19">
        <v>-5</v>
      </c>
      <c r="N13" s="19">
        <v>-5</v>
      </c>
      <c r="O13" s="19">
        <v>-5</v>
      </c>
    </row>
    <row r="14" spans="2:15">
      <c r="B14">
        <v>2026</v>
      </c>
      <c r="C14" t="s">
        <v>128</v>
      </c>
      <c r="D14" s="19">
        <v>-50</v>
      </c>
      <c r="E14" s="19">
        <v>-50</v>
      </c>
      <c r="F14" s="19">
        <v>-50</v>
      </c>
      <c r="G14" s="19">
        <v>-50</v>
      </c>
      <c r="H14" s="19">
        <v>-50</v>
      </c>
      <c r="I14" s="19">
        <v>-50</v>
      </c>
      <c r="J14" s="19">
        <v>-50</v>
      </c>
      <c r="K14" s="19">
        <v>-50</v>
      </c>
      <c r="L14" s="19">
        <v>-50</v>
      </c>
      <c r="M14" s="19">
        <v>-50</v>
      </c>
      <c r="N14" s="19">
        <v>-50</v>
      </c>
      <c r="O14" s="19">
        <v>-50</v>
      </c>
    </row>
    <row r="15" spans="2:15">
      <c r="B15">
        <v>2026</v>
      </c>
      <c r="C15" t="s">
        <v>129</v>
      </c>
      <c r="D15" s="19">
        <v>-100</v>
      </c>
      <c r="E15" s="19">
        <v>-100</v>
      </c>
      <c r="F15" s="19">
        <v>-100</v>
      </c>
      <c r="G15" s="19">
        <v>-100</v>
      </c>
      <c r="H15" s="19">
        <v>-100</v>
      </c>
      <c r="I15" s="19">
        <v>-100</v>
      </c>
      <c r="J15" s="19">
        <v>-100</v>
      </c>
      <c r="K15" s="19">
        <v>-100</v>
      </c>
      <c r="L15" s="19">
        <v>-100</v>
      </c>
      <c r="M15" s="19">
        <v>-100</v>
      </c>
      <c r="N15" s="19">
        <v>-100</v>
      </c>
      <c r="O15" s="19">
        <v>-100</v>
      </c>
    </row>
    <row r="16" spans="2:15">
      <c r="B16">
        <v>2026</v>
      </c>
      <c r="C16" t="s">
        <v>130</v>
      </c>
      <c r="D16" s="19">
        <v>-30</v>
      </c>
      <c r="E16" s="19">
        <v>-30</v>
      </c>
      <c r="F16" s="19">
        <v>-30</v>
      </c>
      <c r="G16" s="19">
        <v>-30</v>
      </c>
      <c r="H16" s="19">
        <v>-30</v>
      </c>
      <c r="I16" s="19">
        <v>-30</v>
      </c>
      <c r="J16" s="19">
        <v>-30</v>
      </c>
      <c r="K16" s="19">
        <v>-30</v>
      </c>
      <c r="L16" s="19">
        <v>-30</v>
      </c>
      <c r="M16" s="19">
        <v>-30</v>
      </c>
      <c r="N16" s="19">
        <v>-30</v>
      </c>
      <c r="O16" s="19">
        <v>-30</v>
      </c>
    </row>
    <row r="17" spans="2:16">
      <c r="B17">
        <v>2026</v>
      </c>
      <c r="C17" t="s">
        <v>24</v>
      </c>
      <c r="D17" s="19">
        <v>-40</v>
      </c>
      <c r="E17" s="19">
        <v>-40</v>
      </c>
      <c r="F17" s="19">
        <v>-40</v>
      </c>
      <c r="G17" s="19">
        <v>-40</v>
      </c>
      <c r="H17" s="19">
        <v>-40</v>
      </c>
      <c r="I17" s="19">
        <v>-40</v>
      </c>
      <c r="J17" s="19">
        <v>-40</v>
      </c>
      <c r="K17" s="19">
        <v>-40</v>
      </c>
      <c r="L17" s="19">
        <v>-40</v>
      </c>
      <c r="M17" s="19">
        <v>-40</v>
      </c>
      <c r="N17" s="19">
        <v>-40</v>
      </c>
      <c r="O17" s="19">
        <v>-40</v>
      </c>
    </row>
    <row r="18" spans="2:16">
      <c r="B18">
        <v>2026</v>
      </c>
      <c r="C18" t="s">
        <v>26</v>
      </c>
      <c r="D18" s="19">
        <v>-60</v>
      </c>
      <c r="E18" s="19">
        <v>-60</v>
      </c>
      <c r="F18" s="19">
        <v>-60</v>
      </c>
      <c r="G18" s="19">
        <v>-60</v>
      </c>
      <c r="H18" s="19">
        <v>-60</v>
      </c>
      <c r="I18" s="19">
        <v>-60</v>
      </c>
      <c r="J18" s="19">
        <v>-60</v>
      </c>
      <c r="K18" s="19">
        <v>-60</v>
      </c>
      <c r="L18" s="19">
        <v>-60</v>
      </c>
      <c r="M18" s="19">
        <v>-60</v>
      </c>
      <c r="N18" s="19">
        <v>-60</v>
      </c>
      <c r="O18" s="19">
        <v>-60</v>
      </c>
    </row>
    <row r="19" spans="2:16">
      <c r="B19">
        <v>2026</v>
      </c>
      <c r="C19" t="s">
        <v>131</v>
      </c>
      <c r="D19" s="19">
        <v>-50</v>
      </c>
      <c r="E19" s="19">
        <v>-50</v>
      </c>
      <c r="F19" s="19">
        <v>-50</v>
      </c>
      <c r="G19" s="19">
        <v>-50</v>
      </c>
      <c r="H19" s="19">
        <v>-50</v>
      </c>
      <c r="I19" s="19">
        <v>-50</v>
      </c>
      <c r="J19" s="19">
        <v>-50</v>
      </c>
      <c r="K19" s="19">
        <v>-50</v>
      </c>
      <c r="L19" s="19">
        <v>-50</v>
      </c>
      <c r="M19" s="19">
        <v>-50</v>
      </c>
      <c r="N19" s="19">
        <v>-50</v>
      </c>
      <c r="O19" s="19">
        <v>-50</v>
      </c>
      <c r="P19" s="19"/>
    </row>
    <row r="20" spans="2:16">
      <c r="B20">
        <v>2026</v>
      </c>
      <c r="C20" t="s">
        <v>27</v>
      </c>
      <c r="D20" s="19">
        <v>-20</v>
      </c>
      <c r="E20" s="19">
        <v>-20</v>
      </c>
      <c r="F20" s="19">
        <v>-200</v>
      </c>
      <c r="G20" s="19">
        <v>-20</v>
      </c>
      <c r="H20" s="19">
        <v>-20</v>
      </c>
      <c r="I20" s="19">
        <v>-20</v>
      </c>
      <c r="J20" s="19">
        <v>-20</v>
      </c>
      <c r="K20" s="19">
        <v>-20</v>
      </c>
      <c r="L20" s="19">
        <v>-200</v>
      </c>
      <c r="M20" s="19">
        <v>-20</v>
      </c>
      <c r="N20" s="19">
        <v>-20</v>
      </c>
      <c r="O20" s="19">
        <v>-20</v>
      </c>
    </row>
    <row r="21" spans="2:16">
      <c r="B21">
        <v>2026</v>
      </c>
      <c r="C21" t="s">
        <v>30</v>
      </c>
      <c r="D21" s="19">
        <v>-50</v>
      </c>
      <c r="E21" s="19">
        <v>-50</v>
      </c>
      <c r="F21" s="19">
        <v>-50</v>
      </c>
      <c r="G21" s="19">
        <v>-50</v>
      </c>
      <c r="H21" s="19">
        <v>-50</v>
      </c>
      <c r="I21" s="19">
        <v>-50</v>
      </c>
      <c r="J21" s="19">
        <v>-50</v>
      </c>
      <c r="K21" s="19">
        <v>-50</v>
      </c>
      <c r="L21" s="19">
        <v>-50</v>
      </c>
      <c r="M21" s="19">
        <v>-50</v>
      </c>
      <c r="N21" s="19">
        <v>-50</v>
      </c>
      <c r="O21" s="19">
        <v>-50</v>
      </c>
    </row>
    <row r="22" spans="2:16">
      <c r="B22">
        <v>2026</v>
      </c>
      <c r="C22" t="s">
        <v>31</v>
      </c>
      <c r="D22" s="19">
        <v>-55</v>
      </c>
      <c r="E22" s="19">
        <v>-55</v>
      </c>
      <c r="F22" s="19">
        <v>-55</v>
      </c>
      <c r="G22" s="19">
        <v>-55</v>
      </c>
      <c r="H22" s="19">
        <v>-55</v>
      </c>
      <c r="I22" s="19">
        <v>-55</v>
      </c>
      <c r="J22" s="19">
        <v>-55</v>
      </c>
      <c r="K22" s="19">
        <v>-55</v>
      </c>
      <c r="L22" s="19">
        <v>-55</v>
      </c>
      <c r="M22" s="19">
        <v>-55</v>
      </c>
      <c r="N22" s="19">
        <v>-55</v>
      </c>
      <c r="O22" s="19">
        <v>-55</v>
      </c>
    </row>
    <row r="23" spans="2:16">
      <c r="B23">
        <v>2026</v>
      </c>
      <c r="C23" t="s">
        <v>32</v>
      </c>
      <c r="D23" s="19">
        <v>-60</v>
      </c>
      <c r="E23" s="19">
        <v>-60</v>
      </c>
      <c r="F23" s="19">
        <v>-60</v>
      </c>
      <c r="G23" s="19">
        <v>-60</v>
      </c>
      <c r="H23" s="19">
        <v>-60</v>
      </c>
      <c r="I23" s="19">
        <v>-60</v>
      </c>
      <c r="J23" s="19">
        <v>-60</v>
      </c>
      <c r="K23" s="19">
        <v>-60</v>
      </c>
      <c r="L23" s="19">
        <v>-60</v>
      </c>
      <c r="M23" s="19">
        <v>-60</v>
      </c>
      <c r="N23" s="19">
        <v>-60</v>
      </c>
      <c r="O23" s="19">
        <v>-60</v>
      </c>
    </row>
    <row r="24" spans="2:16">
      <c r="B24">
        <v>2026</v>
      </c>
      <c r="C24" t="s">
        <v>132</v>
      </c>
      <c r="D24" s="19">
        <v>-50</v>
      </c>
      <c r="E24" s="19">
        <v>-50</v>
      </c>
      <c r="F24" s="19">
        <v>-50</v>
      </c>
      <c r="G24" s="19">
        <v>-50</v>
      </c>
      <c r="H24" s="19">
        <v>-50</v>
      </c>
      <c r="I24" s="19">
        <v>-50</v>
      </c>
      <c r="J24" s="19">
        <v>-50</v>
      </c>
      <c r="K24" s="19">
        <v>-50</v>
      </c>
      <c r="L24" s="19">
        <v>-50</v>
      </c>
      <c r="M24" s="19">
        <v>-50</v>
      </c>
      <c r="N24" s="19">
        <v>-50</v>
      </c>
      <c r="O24" s="19">
        <v>-50</v>
      </c>
    </row>
    <row r="25" spans="2:16">
      <c r="B25">
        <v>2026</v>
      </c>
      <c r="C25" t="s">
        <v>33</v>
      </c>
      <c r="D25" s="19">
        <v>0</v>
      </c>
      <c r="E25" s="19">
        <v>0</v>
      </c>
      <c r="F25" s="19">
        <v>0</v>
      </c>
      <c r="G25" s="19">
        <v>0</v>
      </c>
      <c r="H25" s="19">
        <v>0</v>
      </c>
      <c r="I25" s="19">
        <v>0</v>
      </c>
      <c r="J25" s="19">
        <v>0</v>
      </c>
      <c r="K25" s="19">
        <v>0</v>
      </c>
      <c r="L25" s="19">
        <v>0</v>
      </c>
      <c r="M25" s="19">
        <v>0</v>
      </c>
      <c r="N25" s="19">
        <v>0</v>
      </c>
      <c r="O25" s="19">
        <v>0</v>
      </c>
    </row>
    <row r="26" spans="2:16">
      <c r="B26">
        <v>2026</v>
      </c>
      <c r="C26" t="s">
        <v>35</v>
      </c>
      <c r="D26" s="19">
        <v>0</v>
      </c>
      <c r="E26" s="19">
        <v>0</v>
      </c>
      <c r="F26" s="19">
        <v>0</v>
      </c>
      <c r="G26" s="19">
        <v>0</v>
      </c>
      <c r="H26" s="19">
        <v>0</v>
      </c>
      <c r="I26" s="19">
        <v>0</v>
      </c>
      <c r="J26" s="19">
        <v>0</v>
      </c>
      <c r="K26" s="19">
        <v>0</v>
      </c>
      <c r="L26" s="19">
        <v>0</v>
      </c>
      <c r="M26" s="19">
        <v>0</v>
      </c>
      <c r="N26" s="19">
        <v>0</v>
      </c>
      <c r="O26" s="19">
        <v>0</v>
      </c>
    </row>
    <row r="27" spans="2:16">
      <c r="B27">
        <v>2026</v>
      </c>
      <c r="C27" t="s">
        <v>36</v>
      </c>
      <c r="D27" s="19">
        <v>-300</v>
      </c>
      <c r="E27" s="19">
        <v>-300</v>
      </c>
      <c r="F27" s="19">
        <v>-300</v>
      </c>
      <c r="G27" s="19">
        <v>-300</v>
      </c>
      <c r="H27" s="19">
        <v>-300</v>
      </c>
      <c r="I27" s="19">
        <v>-300</v>
      </c>
      <c r="J27" s="19">
        <v>-300</v>
      </c>
      <c r="K27" s="19">
        <v>-300</v>
      </c>
      <c r="L27" s="19">
        <v>-300</v>
      </c>
      <c r="M27" s="19">
        <v>-300</v>
      </c>
      <c r="N27" s="19">
        <v>-300</v>
      </c>
      <c r="O27" s="19">
        <v>-300</v>
      </c>
    </row>
    <row r="28" spans="2:16">
      <c r="B28">
        <v>2026</v>
      </c>
      <c r="C28" t="s">
        <v>37</v>
      </c>
      <c r="D28" s="19">
        <v>-45</v>
      </c>
      <c r="E28" s="19">
        <v>-45</v>
      </c>
      <c r="F28" s="19">
        <v>-45</v>
      </c>
      <c r="G28" s="19">
        <v>-45</v>
      </c>
      <c r="H28" s="19">
        <v>-45</v>
      </c>
      <c r="I28" s="19">
        <v>-45</v>
      </c>
      <c r="J28" s="19">
        <v>-45</v>
      </c>
      <c r="K28" s="19">
        <v>-45</v>
      </c>
      <c r="L28" s="19">
        <v>-45</v>
      </c>
      <c r="M28" s="19">
        <v>-45</v>
      </c>
      <c r="N28" s="19">
        <v>-45</v>
      </c>
      <c r="O28" s="19">
        <v>-45</v>
      </c>
    </row>
    <row r="29" spans="2:16">
      <c r="B29">
        <v>2026</v>
      </c>
      <c r="C29" t="s">
        <v>133</v>
      </c>
      <c r="D29" s="19">
        <v>0</v>
      </c>
      <c r="E29" s="19">
        <v>0</v>
      </c>
      <c r="F29" s="19">
        <v>0</v>
      </c>
      <c r="G29" s="19">
        <v>0</v>
      </c>
      <c r="H29" s="19">
        <v>0</v>
      </c>
      <c r="I29" s="19">
        <v>0</v>
      </c>
      <c r="J29" s="19">
        <v>0</v>
      </c>
      <c r="K29" s="19">
        <v>0</v>
      </c>
      <c r="L29" s="19">
        <v>0</v>
      </c>
      <c r="M29" s="19">
        <v>0</v>
      </c>
      <c r="N29" s="19">
        <v>0</v>
      </c>
      <c r="O29" s="19">
        <v>0</v>
      </c>
    </row>
    <row r="30" spans="2:16">
      <c r="B30">
        <v>2026</v>
      </c>
      <c r="C30" t="s">
        <v>134</v>
      </c>
      <c r="D30" s="19">
        <v>-200</v>
      </c>
      <c r="E30" s="19">
        <v>-200</v>
      </c>
      <c r="F30" s="19">
        <v>-200</v>
      </c>
      <c r="G30" s="19">
        <v>-200</v>
      </c>
      <c r="H30" s="19">
        <v>-200</v>
      </c>
      <c r="I30" s="19">
        <v>-200</v>
      </c>
      <c r="J30" s="19">
        <v>-200</v>
      </c>
      <c r="K30" s="19">
        <v>-200</v>
      </c>
      <c r="L30" s="19">
        <v>-200</v>
      </c>
      <c r="M30" s="19">
        <v>-200</v>
      </c>
      <c r="N30" s="19">
        <v>-200</v>
      </c>
      <c r="O30" s="19">
        <v>-200</v>
      </c>
    </row>
    <row r="31" spans="2:16">
      <c r="B31">
        <v>2026</v>
      </c>
      <c r="C31" t="s">
        <v>136</v>
      </c>
      <c r="D31" s="19">
        <v>-30</v>
      </c>
      <c r="E31" s="19">
        <v>-30</v>
      </c>
      <c r="F31" s="19">
        <v>-30</v>
      </c>
      <c r="G31" s="19">
        <v>-30</v>
      </c>
      <c r="H31" s="19">
        <v>-30</v>
      </c>
      <c r="I31" s="19">
        <v>-30</v>
      </c>
      <c r="J31" s="19">
        <v>-30</v>
      </c>
      <c r="K31" s="19">
        <v>-30</v>
      </c>
      <c r="L31" s="19">
        <v>-30</v>
      </c>
      <c r="M31" s="19">
        <v>-30</v>
      </c>
      <c r="N31" s="19">
        <v>-30</v>
      </c>
      <c r="O31" s="19">
        <v>-30</v>
      </c>
    </row>
    <row r="32" spans="2:16">
      <c r="B32">
        <v>2026</v>
      </c>
      <c r="C32" t="s">
        <v>137</v>
      </c>
      <c r="D32" s="19">
        <v>0</v>
      </c>
      <c r="E32" s="19">
        <v>0</v>
      </c>
      <c r="F32" s="19">
        <v>0</v>
      </c>
      <c r="G32" s="19">
        <v>0</v>
      </c>
      <c r="H32" s="19">
        <v>0</v>
      </c>
      <c r="I32" s="19">
        <v>0</v>
      </c>
      <c r="J32" s="19">
        <v>0</v>
      </c>
      <c r="K32" s="19">
        <v>0</v>
      </c>
      <c r="L32" s="19">
        <v>0</v>
      </c>
      <c r="M32" s="19">
        <v>0</v>
      </c>
      <c r="N32" s="19">
        <v>0</v>
      </c>
      <c r="O32" s="19">
        <v>0</v>
      </c>
    </row>
    <row r="33" spans="2:15">
      <c r="B33">
        <v>2026</v>
      </c>
      <c r="C33" t="s">
        <v>139</v>
      </c>
      <c r="D33" s="19">
        <v>0</v>
      </c>
      <c r="E33" s="19">
        <v>0</v>
      </c>
      <c r="F33" s="19">
        <v>0</v>
      </c>
      <c r="G33" s="19">
        <v>0</v>
      </c>
      <c r="H33" s="19">
        <v>0</v>
      </c>
      <c r="I33" s="19">
        <v>0</v>
      </c>
      <c r="J33" s="19">
        <v>0</v>
      </c>
      <c r="K33" s="19">
        <v>0</v>
      </c>
      <c r="L33" s="19">
        <v>0</v>
      </c>
      <c r="M33" s="19">
        <v>0</v>
      </c>
      <c r="N33" s="19">
        <v>0</v>
      </c>
      <c r="O33" s="19">
        <v>0</v>
      </c>
    </row>
    <row r="34" spans="2:15">
      <c r="B34">
        <v>2026</v>
      </c>
      <c r="C34" t="s">
        <v>138</v>
      </c>
      <c r="D34" s="19">
        <v>-30</v>
      </c>
      <c r="E34" s="19">
        <v>-30</v>
      </c>
      <c r="F34" s="19">
        <v>-30</v>
      </c>
      <c r="G34" s="19">
        <v>-30</v>
      </c>
      <c r="H34" s="19">
        <v>-30</v>
      </c>
      <c r="I34" s="19">
        <v>-30</v>
      </c>
      <c r="J34" s="19">
        <v>-30</v>
      </c>
      <c r="K34" s="19">
        <v>-30</v>
      </c>
      <c r="L34" s="19">
        <v>-30</v>
      </c>
      <c r="M34" s="19">
        <v>-30</v>
      </c>
      <c r="N34" s="19">
        <v>-30</v>
      </c>
      <c r="O34" s="19">
        <v>-30</v>
      </c>
    </row>
    <row r="35" spans="2:15">
      <c r="B35">
        <v>2026</v>
      </c>
      <c r="C35" t="s">
        <v>140</v>
      </c>
      <c r="D35" s="19">
        <v>0</v>
      </c>
      <c r="E35" s="19">
        <v>0</v>
      </c>
      <c r="F35" s="19">
        <v>0</v>
      </c>
      <c r="G35" s="19">
        <v>0</v>
      </c>
      <c r="H35" s="19">
        <v>0</v>
      </c>
      <c r="I35" s="19">
        <v>0</v>
      </c>
      <c r="J35" s="19">
        <v>0</v>
      </c>
      <c r="K35" s="19">
        <v>0</v>
      </c>
      <c r="L35" s="19">
        <v>0</v>
      </c>
      <c r="M35" s="19">
        <v>0</v>
      </c>
      <c r="N35" s="19">
        <v>0</v>
      </c>
      <c r="O35" s="19">
        <v>0</v>
      </c>
    </row>
    <row r="36" spans="2:15">
      <c r="B36">
        <v>2026</v>
      </c>
      <c r="C36" t="s">
        <v>141</v>
      </c>
      <c r="D36" s="19">
        <v>-1250</v>
      </c>
      <c r="E36" s="19">
        <v>-1250</v>
      </c>
      <c r="F36" s="19">
        <v>-1250</v>
      </c>
      <c r="G36" s="19">
        <v>-1250</v>
      </c>
      <c r="H36" s="19">
        <v>-1250</v>
      </c>
      <c r="I36" s="19">
        <v>-1250</v>
      </c>
      <c r="J36" s="19">
        <v>-1250</v>
      </c>
      <c r="K36" s="19">
        <v>-1250</v>
      </c>
      <c r="L36" s="19">
        <v>-1250</v>
      </c>
      <c r="M36" s="19">
        <v>-1250</v>
      </c>
      <c r="N36" s="19">
        <v>-1250</v>
      </c>
      <c r="O36" s="19">
        <v>-1250</v>
      </c>
    </row>
    <row r="37" spans="2:15">
      <c r="B37">
        <v>2026</v>
      </c>
      <c r="C37" t="s">
        <v>39</v>
      </c>
      <c r="D37" s="19">
        <v>-100</v>
      </c>
      <c r="E37" s="19">
        <v>-100</v>
      </c>
      <c r="F37" s="19">
        <v>-100</v>
      </c>
      <c r="G37" s="19">
        <v>-100</v>
      </c>
      <c r="H37" s="19">
        <v>-100</v>
      </c>
      <c r="I37" s="19">
        <v>-100</v>
      </c>
      <c r="J37" s="19">
        <v>-100</v>
      </c>
      <c r="K37" s="19">
        <v>-100</v>
      </c>
      <c r="L37" s="19">
        <v>-100</v>
      </c>
      <c r="M37" s="19">
        <v>-100</v>
      </c>
      <c r="N37" s="19">
        <v>-100</v>
      </c>
      <c r="O37" s="19">
        <v>-100</v>
      </c>
    </row>
    <row r="38" spans="2:15">
      <c r="B38">
        <v>2026</v>
      </c>
      <c r="C38" t="s">
        <v>142</v>
      </c>
      <c r="D38" s="19">
        <v>-250</v>
      </c>
      <c r="E38" s="19">
        <v>-250</v>
      </c>
      <c r="F38" s="19">
        <v>-250</v>
      </c>
      <c r="G38" s="19">
        <v>-250</v>
      </c>
      <c r="H38" s="19">
        <v>-250</v>
      </c>
      <c r="I38" s="19">
        <v>-250</v>
      </c>
      <c r="J38" s="19">
        <v>-250</v>
      </c>
      <c r="K38" s="19">
        <v>-250</v>
      </c>
      <c r="L38" s="19">
        <v>-250</v>
      </c>
      <c r="M38" s="19">
        <v>-250</v>
      </c>
      <c r="N38" s="19">
        <v>-250</v>
      </c>
      <c r="O38" s="19">
        <v>-250</v>
      </c>
    </row>
    <row r="39" spans="2:15">
      <c r="B39">
        <v>2026</v>
      </c>
      <c r="C39" t="s">
        <v>143</v>
      </c>
      <c r="D39" s="19">
        <f>'🏠 Start Here!'!$G$16</f>
        <v>-650</v>
      </c>
      <c r="E39" s="19">
        <f>'🏠 Start Here!'!$G$16</f>
        <v>-650</v>
      </c>
      <c r="F39" s="19">
        <f>'🏠 Start Here!'!$G$16</f>
        <v>-650</v>
      </c>
      <c r="G39" s="19">
        <f>'🏠 Start Here!'!$G$16</f>
        <v>-650</v>
      </c>
      <c r="H39" s="19">
        <f>'🏠 Start Here!'!$G$16</f>
        <v>-650</v>
      </c>
      <c r="I39" s="19">
        <f>'🏠 Start Here!'!$G$16</f>
        <v>-650</v>
      </c>
      <c r="J39" s="19">
        <f>'🏠 Start Here!'!$G$16</f>
        <v>-650</v>
      </c>
      <c r="K39" s="19">
        <f>'🏠 Start Here!'!$G$16</f>
        <v>-650</v>
      </c>
      <c r="L39" s="19">
        <f>'🏠 Start Here!'!$G$16</f>
        <v>-650</v>
      </c>
      <c r="M39" s="19">
        <f>'🏠 Start Here!'!$G$16</f>
        <v>-650</v>
      </c>
      <c r="N39" s="19">
        <f>'🏠 Start Here!'!$G$16</f>
        <v>-650</v>
      </c>
      <c r="O39" s="19">
        <f>'🏠 Start Here!'!$G$16</f>
        <v>-650</v>
      </c>
    </row>
    <row r="40" spans="2:15">
      <c r="B40">
        <v>2026</v>
      </c>
      <c r="C40" t="s">
        <v>144</v>
      </c>
      <c r="D40" s="19">
        <v>0</v>
      </c>
      <c r="E40" s="19">
        <v>0</v>
      </c>
      <c r="F40" s="19">
        <v>0</v>
      </c>
      <c r="G40" s="19">
        <v>0</v>
      </c>
      <c r="H40" s="19">
        <v>0</v>
      </c>
      <c r="I40" s="19">
        <v>0</v>
      </c>
      <c r="J40" s="19">
        <v>0</v>
      </c>
      <c r="K40" s="19">
        <v>0</v>
      </c>
      <c r="L40" s="19">
        <v>0</v>
      </c>
      <c r="M40" s="19">
        <v>0</v>
      </c>
      <c r="N40" s="19">
        <v>0</v>
      </c>
      <c r="O40" s="19">
        <v>0</v>
      </c>
    </row>
    <row r="41" spans="2:15">
      <c r="B41">
        <v>2026</v>
      </c>
      <c r="C41" t="s">
        <v>41</v>
      </c>
      <c r="D41" s="19">
        <v>-30</v>
      </c>
      <c r="E41" s="19">
        <v>-30</v>
      </c>
      <c r="F41" s="19">
        <v>-30</v>
      </c>
      <c r="G41" s="19">
        <v>-30</v>
      </c>
      <c r="H41" s="19">
        <v>-30</v>
      </c>
      <c r="I41" s="19">
        <v>-30</v>
      </c>
      <c r="J41" s="19">
        <v>-30</v>
      </c>
      <c r="K41" s="19">
        <v>-30</v>
      </c>
      <c r="L41" s="19">
        <v>-30</v>
      </c>
      <c r="M41" s="19">
        <v>-30</v>
      </c>
      <c r="N41" s="19">
        <v>-30</v>
      </c>
      <c r="O41" s="19">
        <v>-30</v>
      </c>
    </row>
    <row r="42" spans="2:15">
      <c r="B42">
        <v>2026</v>
      </c>
      <c r="C42" t="s">
        <v>146</v>
      </c>
      <c r="D42" s="19">
        <f>'🏠 Start Here!'!$G$18</f>
        <v>-650</v>
      </c>
      <c r="E42" s="19">
        <f>'🏠 Start Here!'!$G$18</f>
        <v>-650</v>
      </c>
      <c r="F42" s="19">
        <f>'🏠 Start Here!'!$G$18</f>
        <v>-650</v>
      </c>
      <c r="G42" s="19">
        <f>'🏠 Start Here!'!$G$18</f>
        <v>-650</v>
      </c>
      <c r="H42" s="19">
        <f>'🏠 Start Here!'!$G$18</f>
        <v>-650</v>
      </c>
      <c r="I42" s="19">
        <f>'🏠 Start Here!'!$G$18</f>
        <v>-650</v>
      </c>
      <c r="J42" s="19">
        <f>'🏠 Start Here!'!$G$18</f>
        <v>-650</v>
      </c>
      <c r="K42" s="19">
        <f>'🏠 Start Here!'!$G$18</f>
        <v>-650</v>
      </c>
      <c r="L42" s="19">
        <f>'🏠 Start Here!'!$G$18</f>
        <v>-650</v>
      </c>
      <c r="M42" s="19">
        <f>'🏠 Start Here!'!$G$18</f>
        <v>-650</v>
      </c>
      <c r="N42" s="19">
        <f>'🏠 Start Here!'!$G$18</f>
        <v>-650</v>
      </c>
      <c r="O42" s="19">
        <f>'🏠 Start Here!'!$G$18</f>
        <v>-650</v>
      </c>
    </row>
    <row r="43" spans="2:15">
      <c r="B43">
        <v>2026</v>
      </c>
      <c r="C43" t="s">
        <v>145</v>
      </c>
      <c r="D43" s="19">
        <v>-250</v>
      </c>
      <c r="E43" s="19">
        <v>-250</v>
      </c>
      <c r="F43" s="19">
        <v>-250</v>
      </c>
      <c r="G43" s="19">
        <v>-250</v>
      </c>
      <c r="H43" s="19">
        <v>-250</v>
      </c>
      <c r="I43" s="19">
        <v>-250</v>
      </c>
      <c r="J43" s="19">
        <v>-250</v>
      </c>
      <c r="K43" s="19">
        <v>-250</v>
      </c>
      <c r="L43" s="19">
        <v>-250</v>
      </c>
      <c r="M43" s="19">
        <v>-250</v>
      </c>
      <c r="N43" s="19">
        <v>-250</v>
      </c>
      <c r="O43" s="19">
        <v>-250</v>
      </c>
    </row>
    <row r="44" spans="2:15">
      <c r="B44">
        <v>2026</v>
      </c>
      <c r="C44" t="s">
        <v>147</v>
      </c>
      <c r="D44" s="19">
        <v>-200</v>
      </c>
      <c r="E44" s="19">
        <v>-200</v>
      </c>
      <c r="F44" s="19">
        <v>-200</v>
      </c>
      <c r="G44" s="19">
        <v>-200</v>
      </c>
      <c r="H44" s="19">
        <v>-200</v>
      </c>
      <c r="I44" s="19">
        <v>-200</v>
      </c>
      <c r="J44" s="19">
        <v>-200</v>
      </c>
      <c r="K44" s="19">
        <v>-200</v>
      </c>
      <c r="L44" s="19">
        <v>-200</v>
      </c>
      <c r="M44" s="19">
        <v>-200</v>
      </c>
      <c r="N44" s="19">
        <v>-200</v>
      </c>
      <c r="O44" s="19">
        <v>-200</v>
      </c>
    </row>
    <row r="45" spans="2:15">
      <c r="B45">
        <v>2026</v>
      </c>
      <c r="C45" t="s">
        <v>148</v>
      </c>
      <c r="D45" s="19">
        <f>'🏠 Start Here!'!$G$14</f>
        <v>-650</v>
      </c>
      <c r="E45" s="19">
        <f>'🏠 Start Here!'!$G$14</f>
        <v>-650</v>
      </c>
      <c r="F45" s="19">
        <f>'🏠 Start Here!'!$G$14</f>
        <v>-650</v>
      </c>
      <c r="G45" s="19">
        <f>'🏠 Start Here!'!$G$14</f>
        <v>-650</v>
      </c>
      <c r="H45" s="19">
        <f>'🏠 Start Here!'!$G$14</f>
        <v>-650</v>
      </c>
      <c r="I45" s="19">
        <f>'🏠 Start Here!'!$G$14</f>
        <v>-650</v>
      </c>
      <c r="J45" s="19">
        <f>'🏠 Start Here!'!$G$14</f>
        <v>-650</v>
      </c>
      <c r="K45" s="19">
        <f>'🏠 Start Here!'!$G$14</f>
        <v>-650</v>
      </c>
      <c r="L45" s="19">
        <f>'🏠 Start Here!'!$G$14</f>
        <v>-650</v>
      </c>
      <c r="M45" s="19">
        <f>'🏠 Start Here!'!$G$14</f>
        <v>-650</v>
      </c>
      <c r="N45" s="19">
        <f>'🏠 Start Here!'!$G$14</f>
        <v>-650</v>
      </c>
      <c r="O45" s="19">
        <f>'🏠 Start Here!'!$G$14</f>
        <v>-650</v>
      </c>
    </row>
    <row r="46" spans="2:15">
      <c r="B46">
        <v>2026</v>
      </c>
      <c r="C46" t="s">
        <v>149</v>
      </c>
      <c r="D46" s="19">
        <v>-100</v>
      </c>
      <c r="E46" s="19">
        <v>-200</v>
      </c>
      <c r="F46" s="19">
        <v>-200</v>
      </c>
      <c r="G46" s="19">
        <v>-200</v>
      </c>
      <c r="H46" s="19">
        <v>-200</v>
      </c>
      <c r="I46" s="19">
        <v>-200</v>
      </c>
      <c r="J46" s="19">
        <v>-200</v>
      </c>
      <c r="K46" s="19">
        <v>-200</v>
      </c>
      <c r="L46" s="19">
        <v>-200</v>
      </c>
      <c r="M46" s="19">
        <v>-200</v>
      </c>
      <c r="N46" s="19">
        <v>-200</v>
      </c>
      <c r="O46" s="19">
        <v>-200</v>
      </c>
    </row>
    <row r="47" spans="2:15">
      <c r="B47">
        <v>2026</v>
      </c>
      <c r="C47" t="s">
        <v>151</v>
      </c>
      <c r="D47" s="19">
        <v>-100</v>
      </c>
      <c r="E47" s="19">
        <v>-100</v>
      </c>
      <c r="F47" s="19">
        <v>-100</v>
      </c>
      <c r="G47" s="19">
        <v>-100</v>
      </c>
      <c r="H47" s="19">
        <v>-100</v>
      </c>
      <c r="I47" s="19">
        <v>-100</v>
      </c>
      <c r="J47" s="19">
        <v>-100</v>
      </c>
      <c r="K47" s="19">
        <v>-100</v>
      </c>
      <c r="L47" s="19">
        <v>-100</v>
      </c>
      <c r="M47" s="19">
        <v>-100</v>
      </c>
      <c r="N47" s="19">
        <v>-100</v>
      </c>
      <c r="O47" s="19">
        <v>-100</v>
      </c>
    </row>
  </sheetData>
  <phoneticPr fontId="5" type="noConversion"/>
  <dataValidations count="2">
    <dataValidation allowBlank="1" showInputMessage="1" showErrorMessage="1" promptTitle="Step 2 - Prepare Budget" prompt="Having a budget will help you stay on track. Prepare it using your best esimates. Deselect this cell to close this message." sqref="A1" xr:uid="{FEFE8131-2BB0-4258-8781-4D742ED3E1A1}"/>
    <dataValidation type="list" allowBlank="1" showInputMessage="1" showErrorMessage="1" sqref="C3:C47" xr:uid="{9B1631C0-DDA0-4655-89ED-4688E3B7DEB0}">
      <formula1>Sub_Categories</formula1>
    </dataValidation>
  </dataValidations>
  <pageMargins left="0.7" right="0.7" top="0.75" bottom="0.75" header="0.3" footer="0.3"/>
  <pageSetup paperSize="9" orientation="portrait" r:id="rId1"/>
  <ignoredErrors>
    <ignoredError sqref="D4:O12 D13:O13 D47:O47 D37:O38 D43:O46 D30:O31 D34:O34 D27:O27 D41:O41 D24:O24 D19:O19 D21:O21 L20 F20 D20:E20 G20:K20 M20:O20 D23:O23 D40:O40 D25:O26 D32:O33 D29:O29 D35:O35 D15:O15 D16:O18 D14:O14 D36:O36 D28:O28 D22:O22 D39 E39:O39 D42:O42" calculatedColumn="1"/>
  </ignoredErrors>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0DFBE-E50C-45BD-B2AC-8483323B3E81}">
  <sheetPr>
    <tabColor theme="6" tint="0.79998168889431442"/>
  </sheetPr>
  <dimension ref="B1:G507"/>
  <sheetViews>
    <sheetView showGridLines="0" workbookViewId="0">
      <pane ySplit="1" topLeftCell="A2" activePane="bottomLeft" state="frozen"/>
      <selection pane="bottomLeft"/>
    </sheetView>
  </sheetViews>
  <sheetFormatPr defaultRowHeight="15"/>
  <cols>
    <col min="1" max="1" width="3.85546875" customWidth="1"/>
    <col min="2" max="2" width="13" customWidth="1"/>
    <col min="3" max="3" width="10.7109375" style="16" bestFit="1" customWidth="1"/>
    <col min="4" max="4" width="16.140625" customWidth="1"/>
    <col min="5" max="5" width="11.28515625" customWidth="1"/>
    <col min="7" max="7" width="15" customWidth="1"/>
    <col min="14" max="14" width="13.7109375" bestFit="1" customWidth="1"/>
    <col min="15" max="19" width="15.140625" bestFit="1" customWidth="1"/>
    <col min="20" max="21" width="11.28515625" bestFit="1" customWidth="1"/>
    <col min="22" max="24" width="10.7109375" bestFit="1" customWidth="1"/>
    <col min="25" max="25" width="11.28515625" bestFit="1" customWidth="1"/>
    <col min="26" max="39" width="10.140625" bestFit="1" customWidth="1"/>
    <col min="40" max="40" width="8.7109375" bestFit="1" customWidth="1"/>
    <col min="41" max="66" width="7" bestFit="1" customWidth="1"/>
    <col min="67" max="67" width="9.140625" bestFit="1" customWidth="1"/>
    <col min="68" max="96" width="7.28515625" bestFit="1" customWidth="1"/>
    <col min="97" max="97" width="9.42578125" bestFit="1" customWidth="1"/>
    <col min="98" max="125" width="6.85546875" bestFit="1" customWidth="1"/>
    <col min="126" max="126" width="9" bestFit="1" customWidth="1"/>
    <col min="127" max="154" width="7.5703125" bestFit="1" customWidth="1"/>
    <col min="155" max="155" width="9.7109375" bestFit="1" customWidth="1"/>
    <col min="156" max="182" width="6.7109375" bestFit="1" customWidth="1"/>
    <col min="183" max="183" width="8.85546875" bestFit="1" customWidth="1"/>
    <col min="184" max="211" width="6.28515625" bestFit="1" customWidth="1"/>
    <col min="212" max="212" width="8.28515625" bestFit="1" customWidth="1"/>
    <col min="213" max="239" width="7.140625" bestFit="1" customWidth="1"/>
    <col min="240" max="240" width="9.28515625" bestFit="1" customWidth="1"/>
    <col min="241" max="266" width="7" bestFit="1" customWidth="1"/>
    <col min="267" max="267" width="9.140625" bestFit="1" customWidth="1"/>
    <col min="268" max="294" width="6.7109375" bestFit="1" customWidth="1"/>
    <col min="295" max="295" width="8.85546875" bestFit="1" customWidth="1"/>
    <col min="296" max="297" width="6.42578125" bestFit="1" customWidth="1"/>
    <col min="298" max="298" width="9.42578125" bestFit="1" customWidth="1"/>
    <col min="299" max="299" width="11.28515625" bestFit="1" customWidth="1"/>
  </cols>
  <sheetData>
    <row r="1" spans="2:7" s="17" customFormat="1" ht="72.75" customHeight="1">
      <c r="C1" s="18" t="s">
        <v>80</v>
      </c>
    </row>
    <row r="9" spans="2:7">
      <c r="B9" t="s">
        <v>7</v>
      </c>
      <c r="C9" s="16" t="s">
        <v>6</v>
      </c>
      <c r="D9" t="s">
        <v>46</v>
      </c>
      <c r="E9" t="s">
        <v>47</v>
      </c>
      <c r="F9" t="s">
        <v>48</v>
      </c>
      <c r="G9" t="s">
        <v>21</v>
      </c>
    </row>
    <row r="10" spans="2:7">
      <c r="B10" t="s">
        <v>49</v>
      </c>
      <c r="C10" s="2">
        <v>46026</v>
      </c>
      <c r="D10" t="s">
        <v>50</v>
      </c>
      <c r="F10">
        <v>4000</v>
      </c>
      <c r="G10" t="s">
        <v>44</v>
      </c>
    </row>
    <row r="11" spans="2:7">
      <c r="B11" t="s">
        <v>92</v>
      </c>
      <c r="C11" s="2">
        <v>46023</v>
      </c>
      <c r="D11" t="s">
        <v>38</v>
      </c>
      <c r="F11">
        <v>35</v>
      </c>
      <c r="G11" t="s">
        <v>38</v>
      </c>
    </row>
    <row r="12" spans="2:7">
      <c r="B12" t="s">
        <v>48</v>
      </c>
      <c r="C12" s="2">
        <v>46026</v>
      </c>
      <c r="D12" t="s">
        <v>51</v>
      </c>
      <c r="E12">
        <v>5</v>
      </c>
      <c r="G12" t="s">
        <v>26</v>
      </c>
    </row>
    <row r="13" spans="2:7">
      <c r="B13" t="s">
        <v>49</v>
      </c>
      <c r="C13" s="2">
        <v>46027</v>
      </c>
      <c r="D13" t="s">
        <v>52</v>
      </c>
      <c r="E13">
        <v>900</v>
      </c>
      <c r="G13" t="s">
        <v>42</v>
      </c>
    </row>
    <row r="14" spans="2:7">
      <c r="B14" t="s">
        <v>49</v>
      </c>
      <c r="C14" s="2">
        <v>46027</v>
      </c>
      <c r="D14" t="s">
        <v>53</v>
      </c>
      <c r="E14">
        <v>150</v>
      </c>
      <c r="G14" t="s">
        <v>40</v>
      </c>
    </row>
    <row r="15" spans="2:7">
      <c r="B15" t="s">
        <v>48</v>
      </c>
      <c r="C15" s="2">
        <v>46027</v>
      </c>
      <c r="D15" t="s">
        <v>51</v>
      </c>
      <c r="E15">
        <v>5</v>
      </c>
      <c r="G15" t="s">
        <v>26</v>
      </c>
    </row>
    <row r="16" spans="2:7">
      <c r="B16" t="s">
        <v>48</v>
      </c>
      <c r="C16" s="2">
        <v>46028</v>
      </c>
      <c r="D16" t="s">
        <v>51</v>
      </c>
      <c r="E16">
        <v>5</v>
      </c>
      <c r="G16" t="s">
        <v>26</v>
      </c>
    </row>
    <row r="17" spans="2:7">
      <c r="B17" t="s">
        <v>48</v>
      </c>
      <c r="C17" s="2">
        <v>46029</v>
      </c>
      <c r="D17" t="s">
        <v>51</v>
      </c>
      <c r="E17">
        <v>5</v>
      </c>
      <c r="G17" t="s">
        <v>26</v>
      </c>
    </row>
    <row r="18" spans="2:7">
      <c r="B18" t="s">
        <v>48</v>
      </c>
      <c r="C18" s="2">
        <v>46030</v>
      </c>
      <c r="D18" t="s">
        <v>51</v>
      </c>
      <c r="E18">
        <v>5</v>
      </c>
      <c r="G18" t="s">
        <v>26</v>
      </c>
    </row>
    <row r="19" spans="2:7">
      <c r="B19" t="s">
        <v>48</v>
      </c>
      <c r="C19" s="2">
        <v>46030</v>
      </c>
      <c r="D19" t="s">
        <v>54</v>
      </c>
      <c r="E19">
        <v>155</v>
      </c>
      <c r="G19" t="s">
        <v>36</v>
      </c>
    </row>
    <row r="20" spans="2:7">
      <c r="B20" t="s">
        <v>49</v>
      </c>
      <c r="C20" s="2">
        <v>46033</v>
      </c>
      <c r="D20" t="s">
        <v>55</v>
      </c>
      <c r="F20">
        <v>100</v>
      </c>
      <c r="G20" t="s">
        <v>34</v>
      </c>
    </row>
    <row r="21" spans="2:7">
      <c r="B21" t="s">
        <v>48</v>
      </c>
      <c r="C21" s="2">
        <v>46033</v>
      </c>
      <c r="D21" t="s">
        <v>51</v>
      </c>
      <c r="E21">
        <v>5</v>
      </c>
      <c r="G21" t="s">
        <v>26</v>
      </c>
    </row>
    <row r="22" spans="2:7">
      <c r="B22" t="s">
        <v>48</v>
      </c>
      <c r="C22" s="2">
        <v>46034</v>
      </c>
      <c r="D22" t="s">
        <v>51</v>
      </c>
      <c r="E22">
        <v>5</v>
      </c>
      <c r="G22" t="s">
        <v>26</v>
      </c>
    </row>
    <row r="23" spans="2:7">
      <c r="B23" t="s">
        <v>48</v>
      </c>
      <c r="C23" s="2">
        <v>46035</v>
      </c>
      <c r="D23" t="s">
        <v>56</v>
      </c>
      <c r="E23">
        <v>77</v>
      </c>
      <c r="G23" t="s">
        <v>39</v>
      </c>
    </row>
    <row r="24" spans="2:7">
      <c r="B24" t="s">
        <v>48</v>
      </c>
      <c r="C24" s="2">
        <v>46035</v>
      </c>
      <c r="D24" t="s">
        <v>51</v>
      </c>
      <c r="E24">
        <v>5</v>
      </c>
      <c r="G24" t="s">
        <v>26</v>
      </c>
    </row>
    <row r="25" spans="2:7">
      <c r="B25" t="s">
        <v>48</v>
      </c>
      <c r="C25" s="2">
        <v>46036</v>
      </c>
      <c r="D25" t="s">
        <v>51</v>
      </c>
      <c r="E25">
        <v>5</v>
      </c>
      <c r="G25" t="s">
        <v>26</v>
      </c>
    </row>
    <row r="26" spans="2:7">
      <c r="B26" t="s">
        <v>48</v>
      </c>
      <c r="C26" s="2">
        <v>46037</v>
      </c>
      <c r="D26" t="s">
        <v>54</v>
      </c>
      <c r="E26">
        <v>135</v>
      </c>
      <c r="G26" t="s">
        <v>36</v>
      </c>
    </row>
    <row r="27" spans="2:7">
      <c r="B27" t="s">
        <v>48</v>
      </c>
      <c r="C27" s="2">
        <v>46037</v>
      </c>
      <c r="D27" t="s">
        <v>51</v>
      </c>
      <c r="E27">
        <v>5</v>
      </c>
      <c r="G27" t="s">
        <v>26</v>
      </c>
    </row>
    <row r="28" spans="2:7">
      <c r="B28" t="s">
        <v>48</v>
      </c>
      <c r="C28" s="2">
        <v>46038</v>
      </c>
      <c r="D28" t="s">
        <v>51</v>
      </c>
      <c r="E28">
        <v>5</v>
      </c>
      <c r="G28" t="s">
        <v>26</v>
      </c>
    </row>
    <row r="29" spans="2:7">
      <c r="B29" t="s">
        <v>48</v>
      </c>
      <c r="C29" s="2">
        <v>46038</v>
      </c>
      <c r="D29" t="s">
        <v>57</v>
      </c>
      <c r="E29">
        <v>40</v>
      </c>
      <c r="G29" t="s">
        <v>32</v>
      </c>
    </row>
    <row r="30" spans="2:7">
      <c r="B30" t="s">
        <v>48</v>
      </c>
      <c r="C30" s="2">
        <v>46038</v>
      </c>
      <c r="D30" t="s">
        <v>58</v>
      </c>
      <c r="E30">
        <v>98</v>
      </c>
      <c r="G30" t="s">
        <v>24</v>
      </c>
    </row>
    <row r="31" spans="2:7">
      <c r="B31" t="s">
        <v>48</v>
      </c>
      <c r="C31" s="2">
        <v>46038</v>
      </c>
      <c r="D31" t="s">
        <v>59</v>
      </c>
      <c r="E31">
        <v>52</v>
      </c>
      <c r="G31" t="s">
        <v>43</v>
      </c>
    </row>
    <row r="32" spans="2:7">
      <c r="B32" t="s">
        <v>48</v>
      </c>
      <c r="C32" s="2">
        <v>46039</v>
      </c>
      <c r="D32" t="s">
        <v>60</v>
      </c>
      <c r="E32">
        <v>28</v>
      </c>
      <c r="G32" t="s">
        <v>45</v>
      </c>
    </row>
    <row r="33" spans="2:7">
      <c r="B33" t="s">
        <v>49</v>
      </c>
      <c r="C33" s="2">
        <v>46040</v>
      </c>
      <c r="D33" t="s">
        <v>61</v>
      </c>
      <c r="E33">
        <v>30</v>
      </c>
      <c r="G33" t="s">
        <v>37</v>
      </c>
    </row>
    <row r="34" spans="2:7">
      <c r="B34" t="s">
        <v>48</v>
      </c>
      <c r="C34" s="2">
        <v>46040</v>
      </c>
      <c r="D34" t="s">
        <v>51</v>
      </c>
      <c r="E34">
        <v>5</v>
      </c>
      <c r="G34" t="s">
        <v>26</v>
      </c>
    </row>
    <row r="35" spans="2:7">
      <c r="B35" t="s">
        <v>48</v>
      </c>
      <c r="C35" s="2">
        <v>46041</v>
      </c>
      <c r="D35" t="s">
        <v>51</v>
      </c>
      <c r="E35">
        <v>5</v>
      </c>
      <c r="G35" t="s">
        <v>26</v>
      </c>
    </row>
    <row r="36" spans="2:7">
      <c r="B36" t="s">
        <v>49</v>
      </c>
      <c r="C36" s="2">
        <v>46041</v>
      </c>
      <c r="D36" t="s">
        <v>62</v>
      </c>
      <c r="E36">
        <v>154</v>
      </c>
      <c r="G36" t="s">
        <v>27</v>
      </c>
    </row>
    <row r="37" spans="2:7">
      <c r="B37" t="s">
        <v>49</v>
      </c>
      <c r="C37" s="2">
        <v>46041</v>
      </c>
      <c r="D37" t="s">
        <v>63</v>
      </c>
      <c r="E37">
        <v>40</v>
      </c>
      <c r="G37" t="s">
        <v>41</v>
      </c>
    </row>
    <row r="38" spans="2:7">
      <c r="B38" t="s">
        <v>48</v>
      </c>
      <c r="C38" s="2">
        <v>46042</v>
      </c>
      <c r="D38" t="s">
        <v>64</v>
      </c>
      <c r="E38">
        <v>45</v>
      </c>
      <c r="G38" t="s">
        <v>35</v>
      </c>
    </row>
    <row r="39" spans="2:7">
      <c r="B39" t="s">
        <v>48</v>
      </c>
      <c r="C39" s="2">
        <v>46042</v>
      </c>
      <c r="D39" t="s">
        <v>65</v>
      </c>
      <c r="E39">
        <v>32</v>
      </c>
      <c r="G39" t="s">
        <v>32</v>
      </c>
    </row>
    <row r="40" spans="2:7">
      <c r="B40" t="s">
        <v>48</v>
      </c>
      <c r="C40" s="2">
        <v>46042</v>
      </c>
      <c r="D40" t="s">
        <v>51</v>
      </c>
      <c r="E40">
        <v>5</v>
      </c>
      <c r="G40" t="s">
        <v>26</v>
      </c>
    </row>
    <row r="41" spans="2:7">
      <c r="B41" t="s">
        <v>48</v>
      </c>
      <c r="C41" s="2">
        <v>46043</v>
      </c>
      <c r="D41" t="s">
        <v>51</v>
      </c>
      <c r="E41">
        <v>5</v>
      </c>
      <c r="G41" t="s">
        <v>26</v>
      </c>
    </row>
    <row r="42" spans="2:7">
      <c r="B42" t="s">
        <v>48</v>
      </c>
      <c r="C42" s="2">
        <v>46044</v>
      </c>
      <c r="D42" t="s">
        <v>51</v>
      </c>
      <c r="E42">
        <v>5</v>
      </c>
      <c r="G42" t="s">
        <v>26</v>
      </c>
    </row>
    <row r="43" spans="2:7">
      <c r="B43" t="s">
        <v>48</v>
      </c>
      <c r="C43" s="2">
        <v>46044</v>
      </c>
      <c r="D43" t="s">
        <v>54</v>
      </c>
      <c r="E43">
        <v>170</v>
      </c>
      <c r="G43" t="s">
        <v>36</v>
      </c>
    </row>
    <row r="44" spans="2:7">
      <c r="B44" t="s">
        <v>48</v>
      </c>
      <c r="C44" s="2">
        <v>46045</v>
      </c>
      <c r="D44" t="s">
        <v>66</v>
      </c>
      <c r="E44">
        <v>37</v>
      </c>
      <c r="G44" t="s">
        <v>43</v>
      </c>
    </row>
    <row r="45" spans="2:7">
      <c r="B45" t="s">
        <v>48</v>
      </c>
      <c r="C45" s="2">
        <v>46046</v>
      </c>
      <c r="D45" t="s">
        <v>67</v>
      </c>
      <c r="E45">
        <v>12</v>
      </c>
      <c r="G45" t="s">
        <v>43</v>
      </c>
    </row>
    <row r="46" spans="2:7">
      <c r="B46" t="s">
        <v>49</v>
      </c>
      <c r="C46" s="2">
        <v>46047</v>
      </c>
      <c r="D46" t="s">
        <v>68</v>
      </c>
      <c r="E46">
        <v>55</v>
      </c>
      <c r="G46" t="s">
        <v>31</v>
      </c>
    </row>
    <row r="47" spans="2:7">
      <c r="B47" t="s">
        <v>48</v>
      </c>
      <c r="C47" s="2">
        <v>46047</v>
      </c>
      <c r="D47" t="s">
        <v>56</v>
      </c>
      <c r="E47">
        <v>63</v>
      </c>
      <c r="G47" t="s">
        <v>39</v>
      </c>
    </row>
    <row r="48" spans="2:7">
      <c r="B48" t="s">
        <v>48</v>
      </c>
      <c r="C48" s="2">
        <v>46047</v>
      </c>
      <c r="D48" t="s">
        <v>51</v>
      </c>
      <c r="E48">
        <v>5</v>
      </c>
      <c r="G48" t="s">
        <v>26</v>
      </c>
    </row>
    <row r="49" spans="2:7">
      <c r="B49" t="s">
        <v>48</v>
      </c>
      <c r="C49" s="2">
        <v>46048</v>
      </c>
      <c r="D49" t="s">
        <v>51</v>
      </c>
      <c r="E49">
        <v>5</v>
      </c>
      <c r="G49" t="s">
        <v>26</v>
      </c>
    </row>
    <row r="50" spans="2:7">
      <c r="B50" t="s">
        <v>48</v>
      </c>
      <c r="C50" s="2">
        <v>46049</v>
      </c>
      <c r="D50" t="s">
        <v>51</v>
      </c>
      <c r="E50">
        <v>5</v>
      </c>
      <c r="G50" t="s">
        <v>26</v>
      </c>
    </row>
    <row r="51" spans="2:7">
      <c r="B51" t="s">
        <v>48</v>
      </c>
      <c r="C51" s="2">
        <v>46050</v>
      </c>
      <c r="D51" t="s">
        <v>51</v>
      </c>
      <c r="E51">
        <v>5</v>
      </c>
      <c r="G51" t="s">
        <v>26</v>
      </c>
    </row>
    <row r="52" spans="2:7">
      <c r="B52" t="s">
        <v>48</v>
      </c>
      <c r="C52" s="2">
        <v>46051</v>
      </c>
      <c r="D52" t="s">
        <v>51</v>
      </c>
      <c r="E52">
        <v>5</v>
      </c>
      <c r="G52" t="s">
        <v>26</v>
      </c>
    </row>
    <row r="53" spans="2:7">
      <c r="B53" t="s">
        <v>48</v>
      </c>
      <c r="C53" s="2">
        <v>46051</v>
      </c>
      <c r="D53" t="s">
        <v>54</v>
      </c>
      <c r="E53">
        <v>162</v>
      </c>
      <c r="G53" t="s">
        <v>36</v>
      </c>
    </row>
    <row r="54" spans="2:7">
      <c r="B54" t="s">
        <v>48</v>
      </c>
      <c r="C54" s="2">
        <v>46052</v>
      </c>
      <c r="D54" t="s">
        <v>69</v>
      </c>
      <c r="E54">
        <v>125</v>
      </c>
      <c r="G54" t="s">
        <v>24</v>
      </c>
    </row>
    <row r="55" spans="2:7">
      <c r="B55" t="s">
        <v>48</v>
      </c>
      <c r="C55" s="2">
        <v>46052</v>
      </c>
      <c r="D55" t="s">
        <v>70</v>
      </c>
      <c r="E55">
        <v>175</v>
      </c>
      <c r="G55" t="s">
        <v>32</v>
      </c>
    </row>
    <row r="56" spans="2:7">
      <c r="B56" t="s">
        <v>48</v>
      </c>
      <c r="C56" s="2">
        <v>46053</v>
      </c>
      <c r="D56" t="s">
        <v>58</v>
      </c>
      <c r="E56">
        <v>145</v>
      </c>
      <c r="G56" t="s">
        <v>24</v>
      </c>
    </row>
    <row r="57" spans="2:7">
      <c r="B57" t="s">
        <v>48</v>
      </c>
      <c r="C57" s="2">
        <v>46053</v>
      </c>
      <c r="D57" t="s">
        <v>60</v>
      </c>
      <c r="E57">
        <v>23</v>
      </c>
      <c r="G57" t="s">
        <v>45</v>
      </c>
    </row>
    <row r="58" spans="2:7">
      <c r="B58" t="s">
        <v>92</v>
      </c>
      <c r="C58" s="2">
        <v>46054</v>
      </c>
      <c r="D58" t="s">
        <v>38</v>
      </c>
      <c r="F58">
        <v>36</v>
      </c>
      <c r="G58" t="s">
        <v>38</v>
      </c>
    </row>
    <row r="59" spans="2:7">
      <c r="B59" t="s">
        <v>49</v>
      </c>
      <c r="C59" s="2">
        <v>46054</v>
      </c>
      <c r="D59" t="s">
        <v>50</v>
      </c>
      <c r="F59">
        <v>4000</v>
      </c>
      <c r="G59" t="s">
        <v>44</v>
      </c>
    </row>
    <row r="60" spans="2:7">
      <c r="B60" t="s">
        <v>48</v>
      </c>
      <c r="C60" s="2">
        <v>46054</v>
      </c>
      <c r="D60" t="s">
        <v>51</v>
      </c>
      <c r="E60">
        <v>5</v>
      </c>
      <c r="G60" t="s">
        <v>26</v>
      </c>
    </row>
    <row r="61" spans="2:7">
      <c r="B61" t="s">
        <v>49</v>
      </c>
      <c r="C61" s="2">
        <v>46055</v>
      </c>
      <c r="D61" t="s">
        <v>52</v>
      </c>
      <c r="E61">
        <v>900</v>
      </c>
      <c r="G61" t="s">
        <v>42</v>
      </c>
    </row>
    <row r="62" spans="2:7">
      <c r="B62" t="s">
        <v>49</v>
      </c>
      <c r="C62" s="2">
        <v>46055</v>
      </c>
      <c r="D62" t="s">
        <v>53</v>
      </c>
      <c r="E62">
        <v>150</v>
      </c>
      <c r="G62" t="s">
        <v>40</v>
      </c>
    </row>
    <row r="63" spans="2:7">
      <c r="B63" t="s">
        <v>48</v>
      </c>
      <c r="C63" s="2">
        <v>46055</v>
      </c>
      <c r="D63" t="s">
        <v>51</v>
      </c>
      <c r="E63">
        <v>5</v>
      </c>
      <c r="G63" t="s">
        <v>26</v>
      </c>
    </row>
    <row r="64" spans="2:7">
      <c r="B64" t="s">
        <v>48</v>
      </c>
      <c r="C64" s="2">
        <v>46056</v>
      </c>
      <c r="D64" t="s">
        <v>51</v>
      </c>
      <c r="E64">
        <v>5</v>
      </c>
      <c r="G64" t="s">
        <v>26</v>
      </c>
    </row>
    <row r="65" spans="2:7">
      <c r="B65" t="s">
        <v>48</v>
      </c>
      <c r="C65" s="2">
        <v>46057</v>
      </c>
      <c r="D65" t="s">
        <v>51</v>
      </c>
      <c r="E65">
        <v>5</v>
      </c>
      <c r="G65" t="s">
        <v>26</v>
      </c>
    </row>
    <row r="66" spans="2:7">
      <c r="B66" t="s">
        <v>48</v>
      </c>
      <c r="C66" s="2">
        <v>46058</v>
      </c>
      <c r="D66" t="s">
        <v>51</v>
      </c>
      <c r="E66">
        <v>5</v>
      </c>
      <c r="G66" t="s">
        <v>26</v>
      </c>
    </row>
    <row r="67" spans="2:7">
      <c r="B67" t="s">
        <v>48</v>
      </c>
      <c r="C67" s="2">
        <v>46058</v>
      </c>
      <c r="D67" t="s">
        <v>54</v>
      </c>
      <c r="E67">
        <v>205</v>
      </c>
      <c r="G67" t="s">
        <v>36</v>
      </c>
    </row>
    <row r="68" spans="2:7">
      <c r="B68" t="s">
        <v>49</v>
      </c>
      <c r="C68" s="2">
        <v>46061</v>
      </c>
      <c r="D68" t="s">
        <v>55</v>
      </c>
      <c r="E68">
        <v>51.1</v>
      </c>
      <c r="G68" t="s">
        <v>34</v>
      </c>
    </row>
    <row r="69" spans="2:7">
      <c r="B69" t="s">
        <v>48</v>
      </c>
      <c r="C69" s="2">
        <v>46061</v>
      </c>
      <c r="D69" t="s">
        <v>51</v>
      </c>
      <c r="E69">
        <v>5</v>
      </c>
      <c r="G69" t="s">
        <v>26</v>
      </c>
    </row>
    <row r="70" spans="2:7">
      <c r="B70" t="s">
        <v>48</v>
      </c>
      <c r="C70" s="2">
        <v>46062</v>
      </c>
      <c r="D70" t="s">
        <v>51</v>
      </c>
      <c r="E70">
        <v>5</v>
      </c>
      <c r="G70" t="s">
        <v>26</v>
      </c>
    </row>
    <row r="71" spans="2:7">
      <c r="B71" t="s">
        <v>48</v>
      </c>
      <c r="C71" s="2">
        <v>46063</v>
      </c>
      <c r="D71" t="s">
        <v>56</v>
      </c>
      <c r="E71">
        <v>78</v>
      </c>
      <c r="G71" t="s">
        <v>39</v>
      </c>
    </row>
    <row r="72" spans="2:7">
      <c r="B72" t="s">
        <v>48</v>
      </c>
      <c r="C72" s="2">
        <v>46063</v>
      </c>
      <c r="D72" t="s">
        <v>51</v>
      </c>
      <c r="E72">
        <v>5</v>
      </c>
      <c r="G72" t="s">
        <v>26</v>
      </c>
    </row>
    <row r="73" spans="2:7">
      <c r="B73" t="s">
        <v>48</v>
      </c>
      <c r="C73" s="2">
        <v>46064</v>
      </c>
      <c r="D73" t="s">
        <v>51</v>
      </c>
      <c r="E73">
        <v>5</v>
      </c>
      <c r="G73" t="s">
        <v>26</v>
      </c>
    </row>
    <row r="74" spans="2:7">
      <c r="B74" t="s">
        <v>48</v>
      </c>
      <c r="C74" s="2">
        <v>46065</v>
      </c>
      <c r="D74" t="s">
        <v>54</v>
      </c>
      <c r="E74">
        <v>135.9</v>
      </c>
      <c r="G74" t="s">
        <v>36</v>
      </c>
    </row>
    <row r="75" spans="2:7">
      <c r="B75" t="s">
        <v>48</v>
      </c>
      <c r="C75" s="2">
        <v>46065</v>
      </c>
      <c r="D75" t="s">
        <v>51</v>
      </c>
      <c r="E75">
        <v>5</v>
      </c>
      <c r="G75" t="s">
        <v>26</v>
      </c>
    </row>
    <row r="76" spans="2:7">
      <c r="B76" t="s">
        <v>48</v>
      </c>
      <c r="C76" s="2">
        <v>46066</v>
      </c>
      <c r="D76" t="s">
        <v>51</v>
      </c>
      <c r="E76">
        <v>5</v>
      </c>
      <c r="G76" t="s">
        <v>26</v>
      </c>
    </row>
    <row r="77" spans="2:7">
      <c r="B77" t="s">
        <v>48</v>
      </c>
      <c r="C77" s="2">
        <v>46066</v>
      </c>
      <c r="D77" t="s">
        <v>57</v>
      </c>
      <c r="E77">
        <v>40.9</v>
      </c>
      <c r="G77" t="s">
        <v>32</v>
      </c>
    </row>
    <row r="78" spans="2:7">
      <c r="B78" t="s">
        <v>48</v>
      </c>
      <c r="C78" s="2">
        <v>46066</v>
      </c>
      <c r="D78" t="s">
        <v>58</v>
      </c>
      <c r="E78">
        <v>99</v>
      </c>
      <c r="G78" t="s">
        <v>24</v>
      </c>
    </row>
    <row r="79" spans="2:7">
      <c r="B79" t="s">
        <v>48</v>
      </c>
      <c r="C79" s="2">
        <v>46066</v>
      </c>
      <c r="D79" t="s">
        <v>59</v>
      </c>
      <c r="E79">
        <v>53</v>
      </c>
      <c r="G79" t="s">
        <v>43</v>
      </c>
    </row>
    <row r="80" spans="2:7">
      <c r="B80" t="s">
        <v>48</v>
      </c>
      <c r="C80" s="2">
        <v>46067</v>
      </c>
      <c r="D80" t="s">
        <v>60</v>
      </c>
      <c r="E80">
        <v>28.9</v>
      </c>
      <c r="G80" t="s">
        <v>45</v>
      </c>
    </row>
    <row r="81" spans="2:7">
      <c r="B81" t="s">
        <v>49</v>
      </c>
      <c r="C81" s="2">
        <v>46068</v>
      </c>
      <c r="D81" t="s">
        <v>61</v>
      </c>
      <c r="E81">
        <v>30</v>
      </c>
      <c r="G81" t="s">
        <v>37</v>
      </c>
    </row>
    <row r="82" spans="2:7">
      <c r="B82" t="s">
        <v>48</v>
      </c>
      <c r="C82" s="2">
        <v>46068</v>
      </c>
      <c r="D82" t="s">
        <v>51</v>
      </c>
      <c r="E82">
        <v>5</v>
      </c>
      <c r="G82" t="s">
        <v>26</v>
      </c>
    </row>
    <row r="83" spans="2:7">
      <c r="B83" t="s">
        <v>48</v>
      </c>
      <c r="C83" s="2">
        <v>46069</v>
      </c>
      <c r="D83" t="s">
        <v>51</v>
      </c>
      <c r="E83">
        <v>5</v>
      </c>
      <c r="G83" t="s">
        <v>26</v>
      </c>
    </row>
    <row r="84" spans="2:7">
      <c r="B84" t="s">
        <v>49</v>
      </c>
      <c r="C84" s="2">
        <v>46069</v>
      </c>
      <c r="D84" t="s">
        <v>63</v>
      </c>
      <c r="E84">
        <v>40</v>
      </c>
      <c r="G84" t="s">
        <v>41</v>
      </c>
    </row>
    <row r="85" spans="2:7">
      <c r="B85" t="s">
        <v>48</v>
      </c>
      <c r="C85" s="2">
        <v>46070</v>
      </c>
      <c r="D85" t="s">
        <v>64</v>
      </c>
      <c r="E85">
        <v>45.9</v>
      </c>
      <c r="G85" t="s">
        <v>35</v>
      </c>
    </row>
    <row r="86" spans="2:7">
      <c r="B86" t="s">
        <v>48</v>
      </c>
      <c r="C86" s="2">
        <v>46070</v>
      </c>
      <c r="D86" t="s">
        <v>65</v>
      </c>
      <c r="E86">
        <v>35</v>
      </c>
      <c r="G86" t="s">
        <v>32</v>
      </c>
    </row>
    <row r="87" spans="2:7">
      <c r="B87" t="s">
        <v>48</v>
      </c>
      <c r="C87" s="2">
        <v>46070</v>
      </c>
      <c r="D87" t="s">
        <v>51</v>
      </c>
      <c r="E87">
        <v>5</v>
      </c>
      <c r="G87" t="s">
        <v>26</v>
      </c>
    </row>
    <row r="88" spans="2:7">
      <c r="B88" t="s">
        <v>48</v>
      </c>
      <c r="C88" s="2">
        <v>46071</v>
      </c>
      <c r="D88" t="s">
        <v>51</v>
      </c>
      <c r="E88">
        <v>5</v>
      </c>
      <c r="G88" t="s">
        <v>26</v>
      </c>
    </row>
    <row r="89" spans="2:7">
      <c r="B89" t="s">
        <v>48</v>
      </c>
      <c r="C89" s="2">
        <v>46072</v>
      </c>
      <c r="D89" t="s">
        <v>51</v>
      </c>
      <c r="E89">
        <v>5</v>
      </c>
      <c r="G89" t="s">
        <v>26</v>
      </c>
    </row>
    <row r="90" spans="2:7">
      <c r="B90" t="s">
        <v>48</v>
      </c>
      <c r="C90" s="2">
        <v>46072</v>
      </c>
      <c r="D90" t="s">
        <v>54</v>
      </c>
      <c r="E90">
        <v>171</v>
      </c>
      <c r="G90" t="s">
        <v>36</v>
      </c>
    </row>
    <row r="91" spans="2:7">
      <c r="B91" t="s">
        <v>48</v>
      </c>
      <c r="C91" s="2">
        <v>46073</v>
      </c>
      <c r="D91" t="s">
        <v>66</v>
      </c>
      <c r="E91">
        <v>37.9</v>
      </c>
      <c r="G91" t="s">
        <v>43</v>
      </c>
    </row>
    <row r="92" spans="2:7">
      <c r="B92" t="s">
        <v>48</v>
      </c>
      <c r="C92" s="2">
        <v>46074</v>
      </c>
      <c r="D92" t="s">
        <v>67</v>
      </c>
      <c r="E92">
        <v>12.9</v>
      </c>
      <c r="G92" t="s">
        <v>43</v>
      </c>
    </row>
    <row r="93" spans="2:7">
      <c r="B93" t="s">
        <v>49</v>
      </c>
      <c r="C93" s="2">
        <v>46075</v>
      </c>
      <c r="D93" t="s">
        <v>68</v>
      </c>
      <c r="E93">
        <v>55</v>
      </c>
      <c r="G93" t="s">
        <v>31</v>
      </c>
    </row>
    <row r="94" spans="2:7">
      <c r="B94" t="s">
        <v>48</v>
      </c>
      <c r="C94" s="2">
        <v>46075</v>
      </c>
      <c r="D94" t="s">
        <v>56</v>
      </c>
      <c r="E94">
        <v>64.099999999999994</v>
      </c>
      <c r="G94" t="s">
        <v>39</v>
      </c>
    </row>
    <row r="95" spans="2:7">
      <c r="B95" t="s">
        <v>48</v>
      </c>
      <c r="C95" s="2">
        <v>46075</v>
      </c>
      <c r="D95" t="s">
        <v>51</v>
      </c>
      <c r="E95">
        <v>5</v>
      </c>
      <c r="G95" t="s">
        <v>26</v>
      </c>
    </row>
    <row r="96" spans="2:7">
      <c r="B96" t="s">
        <v>48</v>
      </c>
      <c r="C96" s="2">
        <v>46076</v>
      </c>
      <c r="D96" t="s">
        <v>51</v>
      </c>
      <c r="E96">
        <v>5</v>
      </c>
      <c r="G96" t="s">
        <v>26</v>
      </c>
    </row>
    <row r="97" spans="2:7">
      <c r="B97" t="s">
        <v>48</v>
      </c>
      <c r="C97" s="2">
        <v>46077</v>
      </c>
      <c r="D97" t="s">
        <v>51</v>
      </c>
      <c r="E97">
        <v>5</v>
      </c>
      <c r="G97" t="s">
        <v>26</v>
      </c>
    </row>
    <row r="98" spans="2:7">
      <c r="B98" t="s">
        <v>48</v>
      </c>
      <c r="C98" s="2">
        <v>46078</v>
      </c>
      <c r="D98" t="s">
        <v>51</v>
      </c>
      <c r="E98">
        <v>5</v>
      </c>
      <c r="G98" t="s">
        <v>26</v>
      </c>
    </row>
    <row r="99" spans="2:7">
      <c r="B99" t="s">
        <v>48</v>
      </c>
      <c r="C99" s="2">
        <v>46079</v>
      </c>
      <c r="D99" t="s">
        <v>51</v>
      </c>
      <c r="E99">
        <v>5</v>
      </c>
      <c r="G99" t="s">
        <v>26</v>
      </c>
    </row>
    <row r="100" spans="2:7">
      <c r="B100" t="s">
        <v>48</v>
      </c>
      <c r="C100" s="2">
        <v>46079</v>
      </c>
      <c r="D100" t="s">
        <v>54</v>
      </c>
      <c r="E100">
        <v>162.9</v>
      </c>
      <c r="G100" t="s">
        <v>36</v>
      </c>
    </row>
    <row r="101" spans="2:7">
      <c r="B101" t="s">
        <v>48</v>
      </c>
      <c r="C101" s="2">
        <v>46080</v>
      </c>
      <c r="D101" t="s">
        <v>69</v>
      </c>
      <c r="E101">
        <v>125.9</v>
      </c>
      <c r="G101" t="s">
        <v>24</v>
      </c>
    </row>
    <row r="102" spans="2:7">
      <c r="B102" t="s">
        <v>48</v>
      </c>
      <c r="C102" s="2">
        <v>46080</v>
      </c>
      <c r="D102" t="s">
        <v>71</v>
      </c>
      <c r="E102">
        <v>137</v>
      </c>
      <c r="G102" t="s">
        <v>24</v>
      </c>
    </row>
    <row r="103" spans="2:7">
      <c r="B103" t="s">
        <v>48</v>
      </c>
      <c r="C103" s="2">
        <v>46081</v>
      </c>
      <c r="D103" t="s">
        <v>58</v>
      </c>
      <c r="E103">
        <v>146.1</v>
      </c>
      <c r="G103" t="s">
        <v>24</v>
      </c>
    </row>
    <row r="104" spans="2:7">
      <c r="B104" t="s">
        <v>48</v>
      </c>
      <c r="C104" s="2">
        <v>46081</v>
      </c>
      <c r="D104" t="s">
        <v>60</v>
      </c>
      <c r="E104">
        <v>24.1</v>
      </c>
      <c r="G104" t="s">
        <v>45</v>
      </c>
    </row>
    <row r="105" spans="2:7">
      <c r="B105" t="s">
        <v>49</v>
      </c>
      <c r="C105" s="2">
        <v>46082</v>
      </c>
      <c r="D105" t="s">
        <v>50</v>
      </c>
      <c r="F105">
        <v>4000</v>
      </c>
      <c r="G105" t="s">
        <v>44</v>
      </c>
    </row>
    <row r="106" spans="2:7">
      <c r="B106" t="s">
        <v>92</v>
      </c>
      <c r="C106" s="2">
        <v>46082</v>
      </c>
      <c r="D106" t="s">
        <v>38</v>
      </c>
      <c r="F106">
        <v>37</v>
      </c>
      <c r="G106" t="s">
        <v>38</v>
      </c>
    </row>
    <row r="107" spans="2:7">
      <c r="B107" t="s">
        <v>48</v>
      </c>
      <c r="C107" s="2">
        <v>46082</v>
      </c>
      <c r="D107" t="s">
        <v>51</v>
      </c>
      <c r="E107">
        <v>5</v>
      </c>
      <c r="G107" t="s">
        <v>26</v>
      </c>
    </row>
    <row r="108" spans="2:7">
      <c r="B108" t="s">
        <v>49</v>
      </c>
      <c r="C108" s="2">
        <v>46083</v>
      </c>
      <c r="D108" t="s">
        <v>52</v>
      </c>
      <c r="E108">
        <v>900</v>
      </c>
      <c r="G108" t="s">
        <v>42</v>
      </c>
    </row>
    <row r="109" spans="2:7">
      <c r="B109" t="s">
        <v>49</v>
      </c>
      <c r="C109" s="2">
        <v>46083</v>
      </c>
      <c r="D109" t="s">
        <v>53</v>
      </c>
      <c r="E109">
        <v>150</v>
      </c>
      <c r="G109" t="s">
        <v>40</v>
      </c>
    </row>
    <row r="110" spans="2:7">
      <c r="B110" t="s">
        <v>48</v>
      </c>
      <c r="C110" s="2">
        <v>46083</v>
      </c>
      <c r="D110" t="s">
        <v>51</v>
      </c>
      <c r="E110">
        <v>5</v>
      </c>
      <c r="G110" t="s">
        <v>26</v>
      </c>
    </row>
    <row r="111" spans="2:7">
      <c r="B111" t="s">
        <v>48</v>
      </c>
      <c r="C111" s="2">
        <v>46084</v>
      </c>
      <c r="D111" t="s">
        <v>51</v>
      </c>
      <c r="E111">
        <v>5</v>
      </c>
      <c r="G111" t="s">
        <v>26</v>
      </c>
    </row>
    <row r="112" spans="2:7">
      <c r="B112" t="s">
        <v>48</v>
      </c>
      <c r="C112" s="2">
        <v>46085</v>
      </c>
      <c r="D112" t="s">
        <v>51</v>
      </c>
      <c r="E112">
        <v>5</v>
      </c>
      <c r="G112" t="s">
        <v>26</v>
      </c>
    </row>
    <row r="113" spans="2:7">
      <c r="B113" t="s">
        <v>48</v>
      </c>
      <c r="C113" s="2">
        <v>46086</v>
      </c>
      <c r="D113" t="s">
        <v>51</v>
      </c>
      <c r="E113">
        <v>5</v>
      </c>
      <c r="G113" t="s">
        <v>26</v>
      </c>
    </row>
    <row r="114" spans="2:7">
      <c r="B114" t="s">
        <v>48</v>
      </c>
      <c r="C114" s="2">
        <v>46086</v>
      </c>
      <c r="D114" t="s">
        <v>54</v>
      </c>
      <c r="E114">
        <v>149</v>
      </c>
      <c r="G114" t="s">
        <v>36</v>
      </c>
    </row>
    <row r="115" spans="2:7">
      <c r="B115" t="s">
        <v>49</v>
      </c>
      <c r="C115" s="2">
        <v>46089</v>
      </c>
      <c r="D115" t="s">
        <v>55</v>
      </c>
      <c r="E115">
        <v>52.1</v>
      </c>
      <c r="G115" t="s">
        <v>34</v>
      </c>
    </row>
    <row r="116" spans="2:7">
      <c r="B116" t="s">
        <v>48</v>
      </c>
      <c r="C116" s="2">
        <v>46089</v>
      </c>
      <c r="D116" t="s">
        <v>51</v>
      </c>
      <c r="E116">
        <v>5</v>
      </c>
      <c r="G116" t="s">
        <v>26</v>
      </c>
    </row>
    <row r="117" spans="2:7">
      <c r="B117" t="s">
        <v>48</v>
      </c>
      <c r="C117" s="2">
        <v>46090</v>
      </c>
      <c r="D117" t="s">
        <v>51</v>
      </c>
      <c r="E117">
        <v>5</v>
      </c>
      <c r="G117" t="s">
        <v>26</v>
      </c>
    </row>
    <row r="118" spans="2:7">
      <c r="B118" t="s">
        <v>48</v>
      </c>
      <c r="C118" s="2">
        <v>46091</v>
      </c>
      <c r="D118" t="s">
        <v>56</v>
      </c>
      <c r="E118">
        <v>78.900000000000006</v>
      </c>
      <c r="G118" t="s">
        <v>39</v>
      </c>
    </row>
    <row r="119" spans="2:7">
      <c r="B119" t="s">
        <v>48</v>
      </c>
      <c r="C119" s="2">
        <v>46091</v>
      </c>
      <c r="D119" t="s">
        <v>51</v>
      </c>
      <c r="E119">
        <v>5</v>
      </c>
      <c r="G119" t="s">
        <v>26</v>
      </c>
    </row>
    <row r="120" spans="2:7">
      <c r="B120" t="s">
        <v>48</v>
      </c>
      <c r="C120" s="2">
        <v>46092</v>
      </c>
      <c r="D120" t="s">
        <v>51</v>
      </c>
      <c r="E120">
        <v>5</v>
      </c>
      <c r="G120" t="s">
        <v>26</v>
      </c>
    </row>
    <row r="121" spans="2:7">
      <c r="B121" t="s">
        <v>48</v>
      </c>
      <c r="C121" s="2">
        <v>46093</v>
      </c>
      <c r="D121" t="s">
        <v>54</v>
      </c>
      <c r="E121">
        <v>137</v>
      </c>
      <c r="G121" t="s">
        <v>36</v>
      </c>
    </row>
    <row r="122" spans="2:7">
      <c r="B122" t="s">
        <v>48</v>
      </c>
      <c r="C122" s="2">
        <v>46093</v>
      </c>
      <c r="D122" t="s">
        <v>51</v>
      </c>
      <c r="E122">
        <v>5</v>
      </c>
      <c r="G122" t="s">
        <v>26</v>
      </c>
    </row>
    <row r="123" spans="2:7">
      <c r="B123" t="s">
        <v>48</v>
      </c>
      <c r="C123" s="2">
        <v>46094</v>
      </c>
      <c r="D123" t="s">
        <v>51</v>
      </c>
      <c r="E123">
        <v>5</v>
      </c>
      <c r="G123" t="s">
        <v>26</v>
      </c>
    </row>
    <row r="124" spans="2:7">
      <c r="B124" t="s">
        <v>48</v>
      </c>
      <c r="C124" s="2">
        <v>46094</v>
      </c>
      <c r="D124" t="s">
        <v>57</v>
      </c>
      <c r="E124">
        <v>41.8</v>
      </c>
      <c r="G124" t="s">
        <v>32</v>
      </c>
    </row>
    <row r="125" spans="2:7">
      <c r="B125" t="s">
        <v>48</v>
      </c>
      <c r="C125" s="2">
        <v>46094</v>
      </c>
      <c r="D125" t="s">
        <v>58</v>
      </c>
      <c r="E125">
        <v>99.9</v>
      </c>
      <c r="G125" t="s">
        <v>24</v>
      </c>
    </row>
    <row r="126" spans="2:7">
      <c r="B126" t="s">
        <v>48</v>
      </c>
      <c r="C126" s="2">
        <v>46094</v>
      </c>
      <c r="D126" t="s">
        <v>59</v>
      </c>
      <c r="E126">
        <v>54</v>
      </c>
      <c r="G126" t="s">
        <v>43</v>
      </c>
    </row>
    <row r="127" spans="2:7">
      <c r="B127" t="s">
        <v>48</v>
      </c>
      <c r="C127" s="2">
        <v>46095</v>
      </c>
      <c r="D127" t="s">
        <v>60</v>
      </c>
      <c r="E127">
        <v>30</v>
      </c>
      <c r="G127" t="s">
        <v>45</v>
      </c>
    </row>
    <row r="128" spans="2:7">
      <c r="B128" t="s">
        <v>49</v>
      </c>
      <c r="C128" s="2">
        <v>46096</v>
      </c>
      <c r="D128" t="s">
        <v>61</v>
      </c>
      <c r="E128">
        <v>30</v>
      </c>
      <c r="G128" t="s">
        <v>37</v>
      </c>
    </row>
    <row r="129" spans="2:7">
      <c r="B129" t="s">
        <v>48</v>
      </c>
      <c r="C129" s="2">
        <v>46096</v>
      </c>
      <c r="D129" t="s">
        <v>51</v>
      </c>
      <c r="E129">
        <v>5</v>
      </c>
      <c r="G129" t="s">
        <v>26</v>
      </c>
    </row>
    <row r="130" spans="2:7">
      <c r="B130" t="s">
        <v>48</v>
      </c>
      <c r="C130" s="2">
        <v>46097</v>
      </c>
      <c r="D130" t="s">
        <v>51</v>
      </c>
      <c r="E130">
        <v>5</v>
      </c>
      <c r="G130" t="s">
        <v>26</v>
      </c>
    </row>
    <row r="131" spans="2:7">
      <c r="B131" t="s">
        <v>49</v>
      </c>
      <c r="C131" s="2">
        <v>46097</v>
      </c>
      <c r="D131" t="s">
        <v>72</v>
      </c>
      <c r="E131">
        <v>75</v>
      </c>
      <c r="G131" t="s">
        <v>30</v>
      </c>
    </row>
    <row r="132" spans="2:7">
      <c r="B132" t="s">
        <v>49</v>
      </c>
      <c r="C132" s="2">
        <v>46097</v>
      </c>
      <c r="D132" t="s">
        <v>63</v>
      </c>
      <c r="E132">
        <v>40</v>
      </c>
      <c r="G132" t="s">
        <v>41</v>
      </c>
    </row>
    <row r="133" spans="2:7">
      <c r="B133" t="s">
        <v>48</v>
      </c>
      <c r="C133" s="2">
        <v>46098</v>
      </c>
      <c r="D133" t="s">
        <v>64</v>
      </c>
      <c r="E133">
        <v>46.8</v>
      </c>
      <c r="G133" t="s">
        <v>35</v>
      </c>
    </row>
    <row r="134" spans="2:7">
      <c r="B134" t="s">
        <v>48</v>
      </c>
      <c r="C134" s="2">
        <v>46098</v>
      </c>
      <c r="D134" t="s">
        <v>65</v>
      </c>
      <c r="E134">
        <v>35</v>
      </c>
      <c r="G134" t="s">
        <v>32</v>
      </c>
    </row>
    <row r="135" spans="2:7">
      <c r="B135" t="s">
        <v>48</v>
      </c>
      <c r="C135" s="2">
        <v>46098</v>
      </c>
      <c r="D135" t="s">
        <v>51</v>
      </c>
      <c r="E135">
        <v>5</v>
      </c>
      <c r="G135" t="s">
        <v>26</v>
      </c>
    </row>
    <row r="136" spans="2:7">
      <c r="B136" t="s">
        <v>48</v>
      </c>
      <c r="C136" s="2">
        <v>46099</v>
      </c>
      <c r="D136" t="s">
        <v>51</v>
      </c>
      <c r="E136">
        <v>5</v>
      </c>
      <c r="G136" t="s">
        <v>26</v>
      </c>
    </row>
    <row r="137" spans="2:7">
      <c r="B137" t="s">
        <v>48</v>
      </c>
      <c r="C137" s="2">
        <v>46100</v>
      </c>
      <c r="D137" t="s">
        <v>51</v>
      </c>
      <c r="E137">
        <v>5</v>
      </c>
      <c r="G137" t="s">
        <v>26</v>
      </c>
    </row>
    <row r="138" spans="2:7">
      <c r="B138" t="s">
        <v>48</v>
      </c>
      <c r="C138" s="2">
        <v>46100</v>
      </c>
      <c r="D138" t="s">
        <v>54</v>
      </c>
      <c r="E138">
        <v>171.9</v>
      </c>
      <c r="G138" t="s">
        <v>36</v>
      </c>
    </row>
    <row r="139" spans="2:7">
      <c r="B139" t="s">
        <v>48</v>
      </c>
      <c r="C139" s="2">
        <v>46101</v>
      </c>
      <c r="D139" t="s">
        <v>66</v>
      </c>
      <c r="E139">
        <v>39</v>
      </c>
      <c r="G139" t="s">
        <v>43</v>
      </c>
    </row>
    <row r="140" spans="2:7">
      <c r="B140" t="s">
        <v>48</v>
      </c>
      <c r="C140" s="2">
        <v>46102</v>
      </c>
      <c r="D140" t="s">
        <v>67</v>
      </c>
      <c r="E140">
        <v>14</v>
      </c>
      <c r="G140" t="s">
        <v>43</v>
      </c>
    </row>
    <row r="141" spans="2:7">
      <c r="B141" t="s">
        <v>49</v>
      </c>
      <c r="C141" s="2">
        <v>46103</v>
      </c>
      <c r="D141" t="s">
        <v>68</v>
      </c>
      <c r="E141">
        <v>55</v>
      </c>
      <c r="G141" t="s">
        <v>31</v>
      </c>
    </row>
    <row r="142" spans="2:7">
      <c r="B142" t="s">
        <v>48</v>
      </c>
      <c r="C142" s="2">
        <v>46103</v>
      </c>
      <c r="D142" t="s">
        <v>56</v>
      </c>
      <c r="E142">
        <v>65</v>
      </c>
      <c r="G142" t="s">
        <v>39</v>
      </c>
    </row>
    <row r="143" spans="2:7">
      <c r="B143" t="s">
        <v>48</v>
      </c>
      <c r="C143" s="2">
        <v>46103</v>
      </c>
      <c r="D143" t="s">
        <v>51</v>
      </c>
      <c r="E143">
        <v>5</v>
      </c>
      <c r="G143" t="s">
        <v>26</v>
      </c>
    </row>
    <row r="144" spans="2:7">
      <c r="B144" t="s">
        <v>48</v>
      </c>
      <c r="C144" s="2">
        <v>46104</v>
      </c>
      <c r="D144" t="s">
        <v>51</v>
      </c>
      <c r="E144">
        <v>5</v>
      </c>
      <c r="G144" t="s">
        <v>26</v>
      </c>
    </row>
    <row r="145" spans="2:7">
      <c r="B145" t="s">
        <v>48</v>
      </c>
      <c r="C145" s="2">
        <v>46105</v>
      </c>
      <c r="D145" t="s">
        <v>51</v>
      </c>
      <c r="E145">
        <v>5</v>
      </c>
      <c r="G145" t="s">
        <v>26</v>
      </c>
    </row>
    <row r="146" spans="2:7">
      <c r="B146" t="s">
        <v>48</v>
      </c>
      <c r="C146" s="2">
        <v>46106</v>
      </c>
      <c r="D146" t="s">
        <v>51</v>
      </c>
      <c r="E146">
        <v>5</v>
      </c>
      <c r="G146" t="s">
        <v>26</v>
      </c>
    </row>
    <row r="147" spans="2:7">
      <c r="B147" t="s">
        <v>48</v>
      </c>
      <c r="C147" s="2">
        <v>46107</v>
      </c>
      <c r="D147" t="s">
        <v>51</v>
      </c>
      <c r="E147">
        <v>5</v>
      </c>
      <c r="G147" t="s">
        <v>26</v>
      </c>
    </row>
    <row r="148" spans="2:7">
      <c r="B148" t="s">
        <v>48</v>
      </c>
      <c r="C148" s="2">
        <v>46107</v>
      </c>
      <c r="D148" t="s">
        <v>54</v>
      </c>
      <c r="E148">
        <v>209</v>
      </c>
      <c r="G148" t="s">
        <v>36</v>
      </c>
    </row>
    <row r="149" spans="2:7">
      <c r="B149" t="s">
        <v>48</v>
      </c>
      <c r="C149" s="2">
        <v>46108</v>
      </c>
      <c r="D149" t="s">
        <v>69</v>
      </c>
      <c r="E149">
        <v>127</v>
      </c>
      <c r="G149" t="s">
        <v>24</v>
      </c>
    </row>
    <row r="150" spans="2:7">
      <c r="B150" t="s">
        <v>48</v>
      </c>
      <c r="C150" s="2">
        <v>46108</v>
      </c>
      <c r="D150" t="s">
        <v>73</v>
      </c>
      <c r="E150">
        <v>177.2</v>
      </c>
      <c r="G150" t="s">
        <v>24</v>
      </c>
    </row>
    <row r="151" spans="2:7">
      <c r="B151" t="s">
        <v>48</v>
      </c>
      <c r="C151" s="2">
        <v>46109</v>
      </c>
      <c r="D151" t="s">
        <v>58</v>
      </c>
      <c r="E151">
        <v>147.1</v>
      </c>
      <c r="G151" t="s">
        <v>24</v>
      </c>
    </row>
    <row r="152" spans="2:7">
      <c r="B152" t="s">
        <v>48</v>
      </c>
      <c r="C152" s="2">
        <v>46109</v>
      </c>
      <c r="D152" t="s">
        <v>60</v>
      </c>
      <c r="E152">
        <v>25</v>
      </c>
      <c r="G152" t="s">
        <v>45</v>
      </c>
    </row>
    <row r="153" spans="2:7">
      <c r="B153" t="s">
        <v>48</v>
      </c>
      <c r="C153" s="2">
        <v>46110</v>
      </c>
      <c r="D153" t="s">
        <v>74</v>
      </c>
      <c r="E153">
        <v>15</v>
      </c>
      <c r="G153" t="s">
        <v>43</v>
      </c>
    </row>
    <row r="154" spans="2:7">
      <c r="B154" t="s">
        <v>48</v>
      </c>
      <c r="C154" s="2">
        <v>46111</v>
      </c>
      <c r="D154" t="s">
        <v>51</v>
      </c>
      <c r="E154">
        <v>5</v>
      </c>
      <c r="G154" t="s">
        <v>26</v>
      </c>
    </row>
    <row r="155" spans="2:7">
      <c r="B155" t="s">
        <v>48</v>
      </c>
      <c r="C155" s="2">
        <v>46112</v>
      </c>
      <c r="D155" t="s">
        <v>51</v>
      </c>
      <c r="E155">
        <v>5</v>
      </c>
      <c r="G155" t="s">
        <v>26</v>
      </c>
    </row>
    <row r="156" spans="2:7">
      <c r="B156" t="s">
        <v>49</v>
      </c>
      <c r="C156" s="2">
        <v>46112</v>
      </c>
      <c r="D156" t="s">
        <v>93</v>
      </c>
      <c r="F156">
        <v>1350</v>
      </c>
      <c r="G156" t="s">
        <v>28</v>
      </c>
    </row>
    <row r="157" spans="2:7">
      <c r="B157" t="s">
        <v>49</v>
      </c>
      <c r="C157" s="2">
        <v>46113</v>
      </c>
      <c r="D157" t="s">
        <v>50</v>
      </c>
      <c r="F157">
        <v>4000</v>
      </c>
      <c r="G157" t="s">
        <v>44</v>
      </c>
    </row>
    <row r="158" spans="2:7">
      <c r="B158" t="s">
        <v>92</v>
      </c>
      <c r="C158" s="2">
        <v>46113</v>
      </c>
      <c r="D158" t="s">
        <v>38</v>
      </c>
      <c r="F158">
        <v>38</v>
      </c>
      <c r="G158" t="s">
        <v>38</v>
      </c>
    </row>
    <row r="159" spans="2:7">
      <c r="B159" t="s">
        <v>48</v>
      </c>
      <c r="C159" s="2">
        <v>46113</v>
      </c>
      <c r="D159" t="s">
        <v>51</v>
      </c>
      <c r="E159">
        <v>5</v>
      </c>
      <c r="G159" t="s">
        <v>26</v>
      </c>
    </row>
    <row r="160" spans="2:7">
      <c r="B160" t="s">
        <v>49</v>
      </c>
      <c r="C160" s="2">
        <v>46114</v>
      </c>
      <c r="D160" t="s">
        <v>52</v>
      </c>
      <c r="E160">
        <v>900</v>
      </c>
      <c r="G160" t="s">
        <v>42</v>
      </c>
    </row>
    <row r="161" spans="2:7">
      <c r="B161" t="s">
        <v>49</v>
      </c>
      <c r="C161" s="2">
        <v>46114</v>
      </c>
      <c r="D161" t="s">
        <v>53</v>
      </c>
      <c r="E161">
        <v>150</v>
      </c>
      <c r="G161" t="s">
        <v>40</v>
      </c>
    </row>
    <row r="162" spans="2:7">
      <c r="B162" t="s">
        <v>48</v>
      </c>
      <c r="C162" s="2">
        <v>46114</v>
      </c>
      <c r="D162" t="s">
        <v>51</v>
      </c>
      <c r="E162">
        <v>5</v>
      </c>
      <c r="G162" t="s">
        <v>26</v>
      </c>
    </row>
    <row r="163" spans="2:7">
      <c r="B163" t="s">
        <v>48</v>
      </c>
      <c r="C163" s="2">
        <v>46115</v>
      </c>
      <c r="D163" t="s">
        <v>51</v>
      </c>
      <c r="E163">
        <v>5</v>
      </c>
      <c r="G163" t="s">
        <v>26</v>
      </c>
    </row>
    <row r="164" spans="2:7">
      <c r="B164" t="s">
        <v>48</v>
      </c>
      <c r="C164" s="2">
        <v>46116</v>
      </c>
      <c r="D164" t="s">
        <v>51</v>
      </c>
      <c r="E164">
        <v>5</v>
      </c>
      <c r="G164" t="s">
        <v>26</v>
      </c>
    </row>
    <row r="165" spans="2:7">
      <c r="B165" t="s">
        <v>48</v>
      </c>
      <c r="C165" s="2">
        <v>46117</v>
      </c>
      <c r="D165" t="s">
        <v>51</v>
      </c>
      <c r="E165">
        <v>5</v>
      </c>
      <c r="G165" t="s">
        <v>26</v>
      </c>
    </row>
    <row r="166" spans="2:7">
      <c r="B166" t="s">
        <v>48</v>
      </c>
      <c r="C166" s="2">
        <v>46117</v>
      </c>
      <c r="D166" t="s">
        <v>54</v>
      </c>
      <c r="E166">
        <v>158.19999999999999</v>
      </c>
      <c r="G166" t="s">
        <v>36</v>
      </c>
    </row>
    <row r="167" spans="2:7">
      <c r="B167" t="s">
        <v>49</v>
      </c>
      <c r="C167" s="2">
        <v>46120</v>
      </c>
      <c r="D167" t="s">
        <v>55</v>
      </c>
      <c r="E167">
        <v>53.2</v>
      </c>
      <c r="G167" t="s">
        <v>34</v>
      </c>
    </row>
    <row r="168" spans="2:7">
      <c r="B168" t="s">
        <v>48</v>
      </c>
      <c r="C168" s="2">
        <v>46120</v>
      </c>
      <c r="D168" t="s">
        <v>51</v>
      </c>
      <c r="E168">
        <v>5</v>
      </c>
      <c r="G168" t="s">
        <v>26</v>
      </c>
    </row>
    <row r="169" spans="2:7">
      <c r="B169" t="s">
        <v>48</v>
      </c>
      <c r="C169" s="2">
        <v>46121</v>
      </c>
      <c r="D169" t="s">
        <v>51</v>
      </c>
      <c r="E169">
        <v>5</v>
      </c>
      <c r="G169" t="s">
        <v>26</v>
      </c>
    </row>
    <row r="170" spans="2:7">
      <c r="B170" t="s">
        <v>48</v>
      </c>
      <c r="C170" s="2">
        <v>46122</v>
      </c>
      <c r="D170" t="s">
        <v>56</v>
      </c>
      <c r="E170">
        <v>79.900000000000006</v>
      </c>
      <c r="G170" t="s">
        <v>39</v>
      </c>
    </row>
    <row r="171" spans="2:7">
      <c r="B171" t="s">
        <v>48</v>
      </c>
      <c r="C171" s="2">
        <v>46122</v>
      </c>
      <c r="D171" t="s">
        <v>51</v>
      </c>
      <c r="E171">
        <v>5</v>
      </c>
      <c r="G171" t="s">
        <v>26</v>
      </c>
    </row>
    <row r="172" spans="2:7">
      <c r="B172" t="s">
        <v>48</v>
      </c>
      <c r="C172" s="2">
        <v>46123</v>
      </c>
      <c r="D172" t="s">
        <v>51</v>
      </c>
      <c r="E172">
        <v>5</v>
      </c>
      <c r="G172" t="s">
        <v>26</v>
      </c>
    </row>
    <row r="173" spans="2:7">
      <c r="B173" t="s">
        <v>48</v>
      </c>
      <c r="C173" s="2">
        <v>46124</v>
      </c>
      <c r="D173" t="s">
        <v>54</v>
      </c>
      <c r="E173">
        <v>98</v>
      </c>
      <c r="G173" t="s">
        <v>36</v>
      </c>
    </row>
    <row r="174" spans="2:7">
      <c r="B174" t="s">
        <v>48</v>
      </c>
      <c r="C174" s="2">
        <v>46124</v>
      </c>
      <c r="D174" t="s">
        <v>51</v>
      </c>
      <c r="E174">
        <v>5</v>
      </c>
      <c r="G174" t="s">
        <v>26</v>
      </c>
    </row>
    <row r="175" spans="2:7">
      <c r="B175" t="s">
        <v>48</v>
      </c>
      <c r="C175" s="2">
        <v>46125</v>
      </c>
      <c r="D175" t="s">
        <v>51</v>
      </c>
      <c r="E175">
        <v>5</v>
      </c>
      <c r="G175" t="s">
        <v>26</v>
      </c>
    </row>
    <row r="176" spans="2:7">
      <c r="B176" t="s">
        <v>48</v>
      </c>
      <c r="C176" s="2">
        <v>46125</v>
      </c>
      <c r="D176" t="s">
        <v>57</v>
      </c>
      <c r="E176">
        <v>42.8</v>
      </c>
      <c r="G176" t="s">
        <v>32</v>
      </c>
    </row>
    <row r="177" spans="2:7">
      <c r="B177" t="s">
        <v>48</v>
      </c>
      <c r="C177" s="2">
        <v>46125</v>
      </c>
      <c r="D177" t="s">
        <v>58</v>
      </c>
      <c r="E177">
        <v>100.9</v>
      </c>
      <c r="G177" t="s">
        <v>24</v>
      </c>
    </row>
    <row r="178" spans="2:7">
      <c r="B178" t="s">
        <v>48</v>
      </c>
      <c r="C178" s="2">
        <v>46125</v>
      </c>
      <c r="D178" t="s">
        <v>59</v>
      </c>
      <c r="E178">
        <v>54.9</v>
      </c>
      <c r="G178" t="s">
        <v>43</v>
      </c>
    </row>
    <row r="179" spans="2:7">
      <c r="B179" t="s">
        <v>48</v>
      </c>
      <c r="C179" s="2">
        <v>46126</v>
      </c>
      <c r="D179" t="s">
        <v>60</v>
      </c>
      <c r="E179">
        <v>31</v>
      </c>
      <c r="G179" t="s">
        <v>45</v>
      </c>
    </row>
    <row r="180" spans="2:7">
      <c r="B180" t="s">
        <v>49</v>
      </c>
      <c r="C180" s="2">
        <v>46127</v>
      </c>
      <c r="D180" t="s">
        <v>61</v>
      </c>
      <c r="E180">
        <v>30</v>
      </c>
      <c r="G180" t="s">
        <v>37</v>
      </c>
    </row>
    <row r="181" spans="2:7">
      <c r="B181" t="s">
        <v>48</v>
      </c>
      <c r="C181" s="2">
        <v>46127</v>
      </c>
      <c r="D181" t="s">
        <v>51</v>
      </c>
      <c r="E181">
        <v>5</v>
      </c>
      <c r="G181" t="s">
        <v>26</v>
      </c>
    </row>
    <row r="182" spans="2:7">
      <c r="B182" t="s">
        <v>48</v>
      </c>
      <c r="C182" s="2">
        <v>46128</v>
      </c>
      <c r="D182" t="s">
        <v>51</v>
      </c>
      <c r="E182">
        <v>5</v>
      </c>
      <c r="G182" t="s">
        <v>26</v>
      </c>
    </row>
    <row r="183" spans="2:7">
      <c r="B183" t="s">
        <v>49</v>
      </c>
      <c r="C183" s="2">
        <v>46128</v>
      </c>
      <c r="D183" t="s">
        <v>63</v>
      </c>
      <c r="E183">
        <v>40</v>
      </c>
      <c r="G183" t="s">
        <v>41</v>
      </c>
    </row>
    <row r="184" spans="2:7">
      <c r="B184" t="s">
        <v>48</v>
      </c>
      <c r="C184" s="2">
        <v>46129</v>
      </c>
      <c r="D184" t="s">
        <v>64</v>
      </c>
      <c r="E184">
        <v>47.9</v>
      </c>
      <c r="G184" t="s">
        <v>35</v>
      </c>
    </row>
    <row r="185" spans="2:7">
      <c r="B185" t="s">
        <v>48</v>
      </c>
      <c r="C185" s="2">
        <v>46129</v>
      </c>
      <c r="D185" t="s">
        <v>65</v>
      </c>
      <c r="E185">
        <v>35</v>
      </c>
      <c r="G185" t="s">
        <v>32</v>
      </c>
    </row>
    <row r="186" spans="2:7">
      <c r="B186" t="s">
        <v>48</v>
      </c>
      <c r="C186" s="2">
        <v>46129</v>
      </c>
      <c r="D186" t="s">
        <v>51</v>
      </c>
      <c r="E186">
        <v>5</v>
      </c>
      <c r="G186" t="s">
        <v>26</v>
      </c>
    </row>
    <row r="187" spans="2:7">
      <c r="B187" t="s">
        <v>48</v>
      </c>
      <c r="C187" s="2">
        <v>46130</v>
      </c>
      <c r="D187" t="s">
        <v>51</v>
      </c>
      <c r="E187">
        <v>5</v>
      </c>
      <c r="G187" t="s">
        <v>26</v>
      </c>
    </row>
    <row r="188" spans="2:7">
      <c r="B188" t="s">
        <v>48</v>
      </c>
      <c r="C188" s="2">
        <v>46131</v>
      </c>
      <c r="D188" t="s">
        <v>51</v>
      </c>
      <c r="E188">
        <v>5</v>
      </c>
      <c r="G188" t="s">
        <v>26</v>
      </c>
    </row>
    <row r="189" spans="2:7">
      <c r="B189" t="s">
        <v>48</v>
      </c>
      <c r="C189" s="2">
        <v>46131</v>
      </c>
      <c r="D189" t="s">
        <v>54</v>
      </c>
      <c r="E189">
        <v>173</v>
      </c>
      <c r="G189" t="s">
        <v>36</v>
      </c>
    </row>
    <row r="190" spans="2:7">
      <c r="B190" t="s">
        <v>48</v>
      </c>
      <c r="C190" s="2">
        <v>46132</v>
      </c>
      <c r="D190" t="s">
        <v>66</v>
      </c>
      <c r="E190">
        <v>40.1</v>
      </c>
      <c r="G190" t="s">
        <v>43</v>
      </c>
    </row>
    <row r="191" spans="2:7">
      <c r="B191" t="s">
        <v>48</v>
      </c>
      <c r="C191" s="2">
        <v>46133</v>
      </c>
      <c r="D191" t="s">
        <v>67</v>
      </c>
      <c r="E191">
        <v>15.1</v>
      </c>
      <c r="G191" t="s">
        <v>43</v>
      </c>
    </row>
    <row r="192" spans="2:7">
      <c r="B192" t="s">
        <v>49</v>
      </c>
      <c r="C192" s="2">
        <v>46134</v>
      </c>
      <c r="D192" t="s">
        <v>68</v>
      </c>
      <c r="E192">
        <v>55</v>
      </c>
      <c r="G192" t="s">
        <v>31</v>
      </c>
    </row>
    <row r="193" spans="2:7">
      <c r="B193" t="s">
        <v>48</v>
      </c>
      <c r="C193" s="2">
        <v>46134</v>
      </c>
      <c r="D193" t="s">
        <v>56</v>
      </c>
      <c r="E193">
        <v>66</v>
      </c>
      <c r="G193" t="s">
        <v>39</v>
      </c>
    </row>
    <row r="194" spans="2:7">
      <c r="B194" t="s">
        <v>48</v>
      </c>
      <c r="C194" s="2">
        <v>46134</v>
      </c>
      <c r="D194" t="s">
        <v>51</v>
      </c>
      <c r="E194">
        <v>5</v>
      </c>
      <c r="G194" t="s">
        <v>26</v>
      </c>
    </row>
    <row r="195" spans="2:7">
      <c r="B195" t="s">
        <v>48</v>
      </c>
      <c r="C195" s="2">
        <v>46135</v>
      </c>
      <c r="D195" t="s">
        <v>51</v>
      </c>
      <c r="E195">
        <v>5</v>
      </c>
      <c r="G195" t="s">
        <v>26</v>
      </c>
    </row>
    <row r="196" spans="2:7">
      <c r="B196" t="s">
        <v>48</v>
      </c>
      <c r="C196" s="2">
        <v>46136</v>
      </c>
      <c r="D196" t="s">
        <v>51</v>
      </c>
      <c r="E196">
        <v>5</v>
      </c>
      <c r="G196" t="s">
        <v>26</v>
      </c>
    </row>
    <row r="197" spans="2:7">
      <c r="B197" t="s">
        <v>48</v>
      </c>
      <c r="C197" s="2">
        <v>46137</v>
      </c>
      <c r="D197" t="s">
        <v>51</v>
      </c>
      <c r="E197">
        <v>5</v>
      </c>
      <c r="G197" t="s">
        <v>26</v>
      </c>
    </row>
    <row r="198" spans="2:7">
      <c r="B198" t="s">
        <v>48</v>
      </c>
      <c r="C198" s="2">
        <v>46138</v>
      </c>
      <c r="D198" t="s">
        <v>51</v>
      </c>
      <c r="E198">
        <v>5</v>
      </c>
      <c r="G198" t="s">
        <v>26</v>
      </c>
    </row>
    <row r="199" spans="2:7">
      <c r="B199" t="s">
        <v>48</v>
      </c>
      <c r="C199" s="2">
        <v>46138</v>
      </c>
      <c r="D199" t="s">
        <v>54</v>
      </c>
      <c r="E199">
        <v>164.9</v>
      </c>
      <c r="G199" t="s">
        <v>36</v>
      </c>
    </row>
    <row r="200" spans="2:7">
      <c r="B200" t="s">
        <v>48</v>
      </c>
      <c r="C200" s="2">
        <v>46139</v>
      </c>
      <c r="D200" t="s">
        <v>69</v>
      </c>
      <c r="E200">
        <v>127.9</v>
      </c>
      <c r="G200" t="s">
        <v>24</v>
      </c>
    </row>
    <row r="201" spans="2:7">
      <c r="B201" t="s">
        <v>48</v>
      </c>
      <c r="C201" s="2">
        <v>46139</v>
      </c>
      <c r="D201" t="s">
        <v>75</v>
      </c>
      <c r="E201">
        <v>300</v>
      </c>
      <c r="G201" t="s">
        <v>32</v>
      </c>
    </row>
    <row r="202" spans="2:7">
      <c r="B202" t="s">
        <v>48</v>
      </c>
      <c r="C202" s="2">
        <v>46140</v>
      </c>
      <c r="D202" t="s">
        <v>58</v>
      </c>
      <c r="E202">
        <v>148.1</v>
      </c>
      <c r="G202" t="s">
        <v>24</v>
      </c>
    </row>
    <row r="203" spans="2:7">
      <c r="B203" t="s">
        <v>48</v>
      </c>
      <c r="C203" s="2">
        <v>46140</v>
      </c>
      <c r="D203" t="s">
        <v>60</v>
      </c>
      <c r="E203">
        <v>26.1</v>
      </c>
      <c r="G203" t="s">
        <v>45</v>
      </c>
    </row>
    <row r="204" spans="2:7">
      <c r="B204" t="s">
        <v>48</v>
      </c>
      <c r="C204" s="2">
        <v>46141</v>
      </c>
      <c r="D204" t="s">
        <v>74</v>
      </c>
      <c r="E204">
        <v>15</v>
      </c>
      <c r="G204" t="s">
        <v>43</v>
      </c>
    </row>
    <row r="205" spans="2:7">
      <c r="B205" t="s">
        <v>48</v>
      </c>
      <c r="C205" s="2">
        <v>46141</v>
      </c>
      <c r="D205" t="s">
        <v>51</v>
      </c>
      <c r="E205">
        <v>5</v>
      </c>
      <c r="G205" t="s">
        <v>26</v>
      </c>
    </row>
    <row r="206" spans="2:7">
      <c r="B206" t="s">
        <v>48</v>
      </c>
      <c r="C206" s="2">
        <v>46142</v>
      </c>
      <c r="D206" t="s">
        <v>51</v>
      </c>
      <c r="E206">
        <v>5</v>
      </c>
      <c r="G206" t="s">
        <v>26</v>
      </c>
    </row>
    <row r="207" spans="2:7">
      <c r="B207" t="s">
        <v>48</v>
      </c>
      <c r="C207" s="2">
        <v>46144</v>
      </c>
      <c r="D207" t="s">
        <v>51</v>
      </c>
      <c r="E207">
        <v>5</v>
      </c>
      <c r="G207" t="s">
        <v>26</v>
      </c>
    </row>
    <row r="208" spans="2:7">
      <c r="B208" t="s">
        <v>49</v>
      </c>
      <c r="C208" s="2">
        <v>46145</v>
      </c>
      <c r="D208" t="s">
        <v>50</v>
      </c>
      <c r="F208">
        <v>4000</v>
      </c>
      <c r="G208" t="s">
        <v>44</v>
      </c>
    </row>
    <row r="209" spans="2:7">
      <c r="B209" t="s">
        <v>92</v>
      </c>
      <c r="C209" s="2">
        <v>46145</v>
      </c>
      <c r="D209" t="s">
        <v>38</v>
      </c>
      <c r="F209">
        <v>39</v>
      </c>
      <c r="G209" t="s">
        <v>38</v>
      </c>
    </row>
    <row r="210" spans="2:7">
      <c r="B210" t="s">
        <v>49</v>
      </c>
      <c r="C210" s="2">
        <v>46145</v>
      </c>
      <c r="D210" t="s">
        <v>52</v>
      </c>
      <c r="E210">
        <v>900</v>
      </c>
      <c r="G210" t="s">
        <v>42</v>
      </c>
    </row>
    <row r="211" spans="2:7">
      <c r="B211" t="s">
        <v>49</v>
      </c>
      <c r="C211" s="2">
        <v>46145</v>
      </c>
      <c r="D211" t="s">
        <v>53</v>
      </c>
      <c r="E211">
        <v>150</v>
      </c>
      <c r="G211" t="s">
        <v>40</v>
      </c>
    </row>
    <row r="212" spans="2:7">
      <c r="B212" t="s">
        <v>48</v>
      </c>
      <c r="C212" s="2">
        <v>46145</v>
      </c>
      <c r="D212" t="s">
        <v>51</v>
      </c>
      <c r="E212">
        <v>5</v>
      </c>
      <c r="G212" t="s">
        <v>26</v>
      </c>
    </row>
    <row r="213" spans="2:7">
      <c r="B213" t="s">
        <v>48</v>
      </c>
      <c r="C213" s="2">
        <v>46146</v>
      </c>
      <c r="D213" t="s">
        <v>51</v>
      </c>
      <c r="E213">
        <v>5</v>
      </c>
      <c r="G213" t="s">
        <v>26</v>
      </c>
    </row>
    <row r="214" spans="2:7">
      <c r="B214" t="s">
        <v>48</v>
      </c>
      <c r="C214" s="2">
        <v>46147</v>
      </c>
      <c r="D214" t="s">
        <v>51</v>
      </c>
      <c r="E214">
        <v>5</v>
      </c>
      <c r="G214" t="s">
        <v>26</v>
      </c>
    </row>
    <row r="215" spans="2:7">
      <c r="B215" t="s">
        <v>48</v>
      </c>
      <c r="C215" s="2">
        <v>46148</v>
      </c>
      <c r="D215" t="s">
        <v>51</v>
      </c>
      <c r="E215">
        <v>5</v>
      </c>
      <c r="G215" t="s">
        <v>26</v>
      </c>
    </row>
    <row r="216" spans="2:7">
      <c r="B216" t="s">
        <v>48</v>
      </c>
      <c r="C216" s="2">
        <v>46148</v>
      </c>
      <c r="D216" t="s">
        <v>54</v>
      </c>
      <c r="E216">
        <v>170</v>
      </c>
      <c r="G216" t="s">
        <v>36</v>
      </c>
    </row>
    <row r="217" spans="2:7">
      <c r="B217" t="s">
        <v>49</v>
      </c>
      <c r="C217" s="2">
        <v>46151</v>
      </c>
      <c r="D217" t="s">
        <v>55</v>
      </c>
      <c r="E217">
        <v>54.1</v>
      </c>
      <c r="G217" t="s">
        <v>34</v>
      </c>
    </row>
    <row r="218" spans="2:7">
      <c r="B218" t="s">
        <v>48</v>
      </c>
      <c r="C218" s="2">
        <v>46151</v>
      </c>
      <c r="D218" t="s">
        <v>51</v>
      </c>
      <c r="E218">
        <v>5</v>
      </c>
      <c r="G218" t="s">
        <v>26</v>
      </c>
    </row>
    <row r="219" spans="2:7">
      <c r="B219" t="s">
        <v>48</v>
      </c>
      <c r="C219" s="2">
        <v>46152</v>
      </c>
      <c r="D219" t="s">
        <v>51</v>
      </c>
      <c r="E219">
        <v>5</v>
      </c>
      <c r="G219" t="s">
        <v>26</v>
      </c>
    </row>
    <row r="220" spans="2:7">
      <c r="B220" t="s">
        <v>48</v>
      </c>
      <c r="C220" s="2">
        <v>46153</v>
      </c>
      <c r="D220" t="s">
        <v>56</v>
      </c>
      <c r="E220">
        <v>81</v>
      </c>
      <c r="G220" t="s">
        <v>39</v>
      </c>
    </row>
    <row r="221" spans="2:7">
      <c r="B221" t="s">
        <v>48</v>
      </c>
      <c r="C221" s="2">
        <v>46153</v>
      </c>
      <c r="D221" t="s">
        <v>51</v>
      </c>
      <c r="E221">
        <v>5</v>
      </c>
      <c r="G221" t="s">
        <v>26</v>
      </c>
    </row>
    <row r="222" spans="2:7">
      <c r="B222" t="s">
        <v>48</v>
      </c>
      <c r="C222" s="2">
        <v>46154</v>
      </c>
      <c r="D222" t="s">
        <v>51</v>
      </c>
      <c r="E222">
        <v>5</v>
      </c>
      <c r="G222" t="s">
        <v>26</v>
      </c>
    </row>
    <row r="223" spans="2:7">
      <c r="B223" t="s">
        <v>48</v>
      </c>
      <c r="C223" s="2">
        <v>46155</v>
      </c>
      <c r="D223" t="s">
        <v>54</v>
      </c>
      <c r="E223">
        <v>139.1</v>
      </c>
      <c r="G223" t="s">
        <v>36</v>
      </c>
    </row>
    <row r="224" spans="2:7">
      <c r="B224" t="s">
        <v>48</v>
      </c>
      <c r="C224" s="2">
        <v>46155</v>
      </c>
      <c r="D224" t="s">
        <v>51</v>
      </c>
      <c r="E224">
        <v>5</v>
      </c>
      <c r="G224" t="s">
        <v>26</v>
      </c>
    </row>
    <row r="225" spans="2:7">
      <c r="B225" t="s">
        <v>48</v>
      </c>
      <c r="C225" s="2">
        <v>46156</v>
      </c>
      <c r="D225" t="s">
        <v>51</v>
      </c>
      <c r="E225">
        <v>5</v>
      </c>
      <c r="G225" t="s">
        <v>26</v>
      </c>
    </row>
    <row r="226" spans="2:7">
      <c r="B226" t="s">
        <v>48</v>
      </c>
      <c r="C226" s="2">
        <v>46156</v>
      </c>
      <c r="D226" t="s">
        <v>57</v>
      </c>
      <c r="E226">
        <v>43.9</v>
      </c>
      <c r="G226" t="s">
        <v>32</v>
      </c>
    </row>
    <row r="227" spans="2:7">
      <c r="B227" t="s">
        <v>48</v>
      </c>
      <c r="C227" s="2">
        <v>46156</v>
      </c>
      <c r="D227" t="s">
        <v>58</v>
      </c>
      <c r="E227">
        <v>101.80000000000001</v>
      </c>
      <c r="G227" t="s">
        <v>24</v>
      </c>
    </row>
    <row r="228" spans="2:7">
      <c r="B228" t="s">
        <v>48</v>
      </c>
      <c r="C228" s="2">
        <v>46156</v>
      </c>
      <c r="D228" t="s">
        <v>59</v>
      </c>
      <c r="E228">
        <v>55.9</v>
      </c>
      <c r="G228" t="s">
        <v>43</v>
      </c>
    </row>
    <row r="229" spans="2:7">
      <c r="B229" t="s">
        <v>48</v>
      </c>
      <c r="C229" s="2">
        <v>46157</v>
      </c>
      <c r="D229" t="s">
        <v>60</v>
      </c>
      <c r="E229">
        <v>32</v>
      </c>
      <c r="G229" t="s">
        <v>45</v>
      </c>
    </row>
    <row r="230" spans="2:7">
      <c r="B230" t="s">
        <v>49</v>
      </c>
      <c r="C230" s="2">
        <v>46158</v>
      </c>
      <c r="D230" t="s">
        <v>61</v>
      </c>
      <c r="E230">
        <v>30</v>
      </c>
      <c r="G230" t="s">
        <v>37</v>
      </c>
    </row>
    <row r="231" spans="2:7">
      <c r="B231" t="s">
        <v>48</v>
      </c>
      <c r="C231" s="2">
        <v>46158</v>
      </c>
      <c r="D231" t="s">
        <v>51</v>
      </c>
      <c r="E231">
        <v>5</v>
      </c>
      <c r="G231" t="s">
        <v>26</v>
      </c>
    </row>
    <row r="232" spans="2:7">
      <c r="B232" t="s">
        <v>48</v>
      </c>
      <c r="C232" s="2">
        <v>46159</v>
      </c>
      <c r="D232" t="s">
        <v>51</v>
      </c>
      <c r="E232">
        <v>5</v>
      </c>
      <c r="G232" t="s">
        <v>26</v>
      </c>
    </row>
    <row r="233" spans="2:7">
      <c r="B233" t="s">
        <v>49</v>
      </c>
      <c r="C233" s="2">
        <v>46159</v>
      </c>
      <c r="D233" t="s">
        <v>72</v>
      </c>
      <c r="E233">
        <v>75</v>
      </c>
      <c r="G233" t="s">
        <v>30</v>
      </c>
    </row>
    <row r="234" spans="2:7">
      <c r="B234" t="s">
        <v>49</v>
      </c>
      <c r="C234" s="2">
        <v>46159</v>
      </c>
      <c r="D234" t="s">
        <v>63</v>
      </c>
      <c r="E234">
        <v>40</v>
      </c>
      <c r="G234" t="s">
        <v>41</v>
      </c>
    </row>
    <row r="235" spans="2:7">
      <c r="B235" t="s">
        <v>48</v>
      </c>
      <c r="C235" s="2">
        <v>46160</v>
      </c>
      <c r="D235" t="s">
        <v>64</v>
      </c>
      <c r="E235">
        <v>49</v>
      </c>
      <c r="G235" t="s">
        <v>35</v>
      </c>
    </row>
    <row r="236" spans="2:7">
      <c r="B236" t="s">
        <v>48</v>
      </c>
      <c r="C236" s="2">
        <v>46160</v>
      </c>
      <c r="D236" t="s">
        <v>65</v>
      </c>
      <c r="E236">
        <v>35</v>
      </c>
      <c r="G236" t="s">
        <v>32</v>
      </c>
    </row>
    <row r="237" spans="2:7">
      <c r="B237" t="s">
        <v>48</v>
      </c>
      <c r="C237" s="2">
        <v>46160</v>
      </c>
      <c r="D237" t="s">
        <v>51</v>
      </c>
      <c r="E237">
        <v>5</v>
      </c>
      <c r="G237" t="s">
        <v>26</v>
      </c>
    </row>
    <row r="238" spans="2:7">
      <c r="B238" t="s">
        <v>48</v>
      </c>
      <c r="C238" s="2">
        <v>46161</v>
      </c>
      <c r="D238" t="s">
        <v>51</v>
      </c>
      <c r="E238">
        <v>5</v>
      </c>
      <c r="G238" t="s">
        <v>26</v>
      </c>
    </row>
    <row r="239" spans="2:7">
      <c r="B239" t="s">
        <v>48</v>
      </c>
      <c r="C239" s="2">
        <v>46162</v>
      </c>
      <c r="D239" t="s">
        <v>51</v>
      </c>
      <c r="E239">
        <v>5</v>
      </c>
      <c r="G239" t="s">
        <v>26</v>
      </c>
    </row>
    <row r="240" spans="2:7">
      <c r="B240" t="s">
        <v>48</v>
      </c>
      <c r="C240" s="2">
        <v>46162</v>
      </c>
      <c r="D240" t="s">
        <v>54</v>
      </c>
      <c r="E240">
        <v>174</v>
      </c>
      <c r="G240" t="s">
        <v>36</v>
      </c>
    </row>
    <row r="241" spans="2:7">
      <c r="B241" t="s">
        <v>48</v>
      </c>
      <c r="C241" s="2">
        <v>46163</v>
      </c>
      <c r="D241" t="s">
        <v>66</v>
      </c>
      <c r="E241">
        <v>41.1</v>
      </c>
      <c r="G241" t="s">
        <v>43</v>
      </c>
    </row>
    <row r="242" spans="2:7">
      <c r="B242" t="s">
        <v>48</v>
      </c>
      <c r="C242" s="2">
        <v>46164</v>
      </c>
      <c r="D242" t="s">
        <v>67</v>
      </c>
      <c r="E242">
        <v>16.2</v>
      </c>
      <c r="G242" t="s">
        <v>43</v>
      </c>
    </row>
    <row r="243" spans="2:7">
      <c r="B243" t="s">
        <v>49</v>
      </c>
      <c r="C243" s="2">
        <v>46165</v>
      </c>
      <c r="D243" t="s">
        <v>68</v>
      </c>
      <c r="E243">
        <v>55</v>
      </c>
      <c r="G243" t="s">
        <v>31</v>
      </c>
    </row>
    <row r="244" spans="2:7">
      <c r="B244" t="s">
        <v>48</v>
      </c>
      <c r="C244" s="2">
        <v>46165</v>
      </c>
      <c r="D244" t="s">
        <v>56</v>
      </c>
      <c r="E244">
        <v>67</v>
      </c>
      <c r="G244" t="s">
        <v>39</v>
      </c>
    </row>
    <row r="245" spans="2:7">
      <c r="B245" t="s">
        <v>48</v>
      </c>
      <c r="C245" s="2">
        <v>46165</v>
      </c>
      <c r="D245" t="s">
        <v>51</v>
      </c>
      <c r="E245">
        <v>5</v>
      </c>
      <c r="G245" t="s">
        <v>26</v>
      </c>
    </row>
    <row r="246" spans="2:7">
      <c r="B246" t="s">
        <v>48</v>
      </c>
      <c r="C246" s="2">
        <v>46166</v>
      </c>
      <c r="D246" t="s">
        <v>51</v>
      </c>
      <c r="E246">
        <v>5</v>
      </c>
      <c r="G246" t="s">
        <v>26</v>
      </c>
    </row>
    <row r="247" spans="2:7">
      <c r="B247" t="s">
        <v>48</v>
      </c>
      <c r="C247" s="2">
        <v>46167</v>
      </c>
      <c r="D247" t="s">
        <v>51</v>
      </c>
      <c r="E247">
        <v>5</v>
      </c>
      <c r="G247" t="s">
        <v>26</v>
      </c>
    </row>
    <row r="248" spans="2:7">
      <c r="B248" t="s">
        <v>48</v>
      </c>
      <c r="C248" s="2">
        <v>46168</v>
      </c>
      <c r="D248" t="s">
        <v>51</v>
      </c>
      <c r="E248">
        <v>5</v>
      </c>
      <c r="G248" t="s">
        <v>26</v>
      </c>
    </row>
    <row r="249" spans="2:7">
      <c r="B249" t="s">
        <v>48</v>
      </c>
      <c r="C249" s="2">
        <v>46169</v>
      </c>
      <c r="D249" t="s">
        <v>51</v>
      </c>
      <c r="E249">
        <v>5</v>
      </c>
      <c r="G249" t="s">
        <v>26</v>
      </c>
    </row>
    <row r="250" spans="2:7">
      <c r="B250" t="s">
        <v>48</v>
      </c>
      <c r="C250" s="2">
        <v>46169</v>
      </c>
      <c r="D250" t="s">
        <v>54</v>
      </c>
      <c r="E250">
        <v>165.8</v>
      </c>
      <c r="G250" t="s">
        <v>36</v>
      </c>
    </row>
    <row r="251" spans="2:7">
      <c r="B251" t="s">
        <v>48</v>
      </c>
      <c r="C251" s="2">
        <v>46170</v>
      </c>
      <c r="D251" t="s">
        <v>69</v>
      </c>
      <c r="E251">
        <v>128.80000000000001</v>
      </c>
      <c r="G251" t="s">
        <v>24</v>
      </c>
    </row>
    <row r="252" spans="2:7">
      <c r="B252" t="s">
        <v>48</v>
      </c>
      <c r="C252" s="2">
        <v>46170</v>
      </c>
      <c r="D252" t="s">
        <v>76</v>
      </c>
      <c r="E252">
        <v>235</v>
      </c>
      <c r="G252" t="s">
        <v>33</v>
      </c>
    </row>
    <row r="253" spans="2:7">
      <c r="B253" t="s">
        <v>48</v>
      </c>
      <c r="C253" s="2">
        <v>46171</v>
      </c>
      <c r="D253" t="s">
        <v>58</v>
      </c>
      <c r="E253">
        <v>149.19999999999999</v>
      </c>
      <c r="G253" t="s">
        <v>24</v>
      </c>
    </row>
    <row r="254" spans="2:7">
      <c r="B254" t="s">
        <v>48</v>
      </c>
      <c r="C254" s="2">
        <v>46171</v>
      </c>
      <c r="D254" t="s">
        <v>60</v>
      </c>
      <c r="E254">
        <v>27.200000000000003</v>
      </c>
      <c r="G254" t="s">
        <v>45</v>
      </c>
    </row>
    <row r="255" spans="2:7">
      <c r="B255" t="s">
        <v>48</v>
      </c>
      <c r="C255" s="2">
        <v>46173</v>
      </c>
      <c r="D255" t="s">
        <v>74</v>
      </c>
      <c r="E255">
        <v>15</v>
      </c>
      <c r="G255" t="s">
        <v>43</v>
      </c>
    </row>
    <row r="256" spans="2:7">
      <c r="B256" t="s">
        <v>48</v>
      </c>
      <c r="C256" s="2">
        <v>46172</v>
      </c>
      <c r="D256" t="s">
        <v>51</v>
      </c>
      <c r="E256">
        <v>5</v>
      </c>
      <c r="G256" t="s">
        <v>26</v>
      </c>
    </row>
    <row r="257" spans="2:7">
      <c r="B257" t="s">
        <v>48</v>
      </c>
      <c r="C257" s="2">
        <v>46173</v>
      </c>
      <c r="D257" t="s">
        <v>51</v>
      </c>
      <c r="E257">
        <v>5</v>
      </c>
      <c r="G257" t="s">
        <v>26</v>
      </c>
    </row>
    <row r="258" spans="2:7">
      <c r="B258" t="s">
        <v>49</v>
      </c>
      <c r="C258" s="2">
        <v>46174</v>
      </c>
      <c r="D258" t="s">
        <v>50</v>
      </c>
      <c r="F258">
        <v>4000</v>
      </c>
      <c r="G258" t="s">
        <v>44</v>
      </c>
    </row>
    <row r="259" spans="2:7">
      <c r="B259" t="s">
        <v>92</v>
      </c>
      <c r="C259" s="2">
        <v>46174</v>
      </c>
      <c r="D259" t="s">
        <v>38</v>
      </c>
      <c r="F259">
        <v>40</v>
      </c>
      <c r="G259" t="s">
        <v>38</v>
      </c>
    </row>
    <row r="260" spans="2:7">
      <c r="B260" t="s">
        <v>48</v>
      </c>
      <c r="C260" s="2">
        <v>46176</v>
      </c>
      <c r="D260" t="s">
        <v>51</v>
      </c>
      <c r="E260">
        <v>5</v>
      </c>
      <c r="G260" t="s">
        <v>26</v>
      </c>
    </row>
    <row r="261" spans="2:7">
      <c r="B261" t="s">
        <v>49</v>
      </c>
      <c r="C261" s="2">
        <v>46176</v>
      </c>
      <c r="D261" t="s">
        <v>52</v>
      </c>
      <c r="E261">
        <v>900</v>
      </c>
      <c r="G261" t="s">
        <v>42</v>
      </c>
    </row>
    <row r="262" spans="2:7">
      <c r="B262" t="s">
        <v>49</v>
      </c>
      <c r="C262" s="2">
        <v>46176</v>
      </c>
      <c r="D262" t="s">
        <v>53</v>
      </c>
      <c r="E262">
        <v>150</v>
      </c>
      <c r="G262" t="s">
        <v>40</v>
      </c>
    </row>
    <row r="263" spans="2:7">
      <c r="B263" t="s">
        <v>48</v>
      </c>
      <c r="C263" s="2">
        <v>46176</v>
      </c>
      <c r="D263" t="s">
        <v>51</v>
      </c>
      <c r="E263">
        <v>5</v>
      </c>
      <c r="G263" t="s">
        <v>26</v>
      </c>
    </row>
    <row r="264" spans="2:7">
      <c r="B264" t="s">
        <v>48</v>
      </c>
      <c r="C264" s="2">
        <v>46177</v>
      </c>
      <c r="D264" t="s">
        <v>51</v>
      </c>
      <c r="E264">
        <v>5</v>
      </c>
      <c r="G264" t="s">
        <v>26</v>
      </c>
    </row>
    <row r="265" spans="2:7">
      <c r="B265" t="s">
        <v>48</v>
      </c>
      <c r="C265" s="2">
        <v>46178</v>
      </c>
      <c r="D265" t="s">
        <v>51</v>
      </c>
      <c r="E265">
        <v>5</v>
      </c>
      <c r="G265" t="s">
        <v>26</v>
      </c>
    </row>
    <row r="266" spans="2:7">
      <c r="B266" t="s">
        <v>48</v>
      </c>
      <c r="C266" s="2">
        <v>46179</v>
      </c>
      <c r="D266" t="s">
        <v>51</v>
      </c>
      <c r="E266">
        <v>5</v>
      </c>
      <c r="G266" t="s">
        <v>26</v>
      </c>
    </row>
    <row r="267" spans="2:7">
      <c r="B267" t="s">
        <v>48</v>
      </c>
      <c r="C267" s="2">
        <v>46179</v>
      </c>
      <c r="D267" t="s">
        <v>54</v>
      </c>
      <c r="E267">
        <v>119</v>
      </c>
      <c r="G267" t="s">
        <v>36</v>
      </c>
    </row>
    <row r="268" spans="2:7">
      <c r="B268" t="s">
        <v>49</v>
      </c>
      <c r="C268" s="2">
        <v>46182</v>
      </c>
      <c r="D268" t="s">
        <v>55</v>
      </c>
      <c r="E268">
        <v>55</v>
      </c>
      <c r="G268" t="s">
        <v>34</v>
      </c>
    </row>
    <row r="269" spans="2:7">
      <c r="B269" t="s">
        <v>48</v>
      </c>
      <c r="C269" s="2">
        <v>46182</v>
      </c>
      <c r="D269" t="s">
        <v>51</v>
      </c>
      <c r="E269">
        <v>5</v>
      </c>
      <c r="G269" t="s">
        <v>26</v>
      </c>
    </row>
    <row r="270" spans="2:7">
      <c r="B270" t="s">
        <v>48</v>
      </c>
      <c r="C270" s="2">
        <v>46183</v>
      </c>
      <c r="D270" t="s">
        <v>51</v>
      </c>
      <c r="E270">
        <v>5</v>
      </c>
      <c r="G270" t="s">
        <v>26</v>
      </c>
    </row>
    <row r="271" spans="2:7">
      <c r="B271" t="s">
        <v>48</v>
      </c>
      <c r="C271" s="2">
        <v>46184</v>
      </c>
      <c r="D271" t="s">
        <v>56</v>
      </c>
      <c r="E271">
        <v>82.1</v>
      </c>
      <c r="G271" t="s">
        <v>39</v>
      </c>
    </row>
    <row r="272" spans="2:7">
      <c r="B272" t="s">
        <v>48</v>
      </c>
      <c r="C272" s="2">
        <v>46184</v>
      </c>
      <c r="D272" t="s">
        <v>51</v>
      </c>
      <c r="E272">
        <v>5</v>
      </c>
      <c r="G272" t="s">
        <v>26</v>
      </c>
    </row>
    <row r="273" spans="2:7">
      <c r="B273" t="s">
        <v>48</v>
      </c>
      <c r="C273" s="2">
        <v>46185</v>
      </c>
      <c r="D273" t="s">
        <v>51</v>
      </c>
      <c r="E273">
        <v>5</v>
      </c>
      <c r="G273" t="s">
        <v>26</v>
      </c>
    </row>
    <row r="274" spans="2:7">
      <c r="B274" t="s">
        <v>48</v>
      </c>
      <c r="C274" s="2">
        <v>46186</v>
      </c>
      <c r="D274" t="s">
        <v>54</v>
      </c>
      <c r="E274">
        <v>140.19999999999999</v>
      </c>
      <c r="G274" t="s">
        <v>36</v>
      </c>
    </row>
    <row r="275" spans="2:7">
      <c r="B275" t="s">
        <v>48</v>
      </c>
      <c r="C275" s="2">
        <v>46186</v>
      </c>
      <c r="D275" t="s">
        <v>51</v>
      </c>
      <c r="E275">
        <v>5</v>
      </c>
      <c r="G275" t="s">
        <v>26</v>
      </c>
    </row>
    <row r="276" spans="2:7">
      <c r="B276" t="s">
        <v>48</v>
      </c>
      <c r="C276" s="2">
        <v>46187</v>
      </c>
      <c r="D276" t="s">
        <v>51</v>
      </c>
      <c r="E276">
        <v>5</v>
      </c>
      <c r="G276" t="s">
        <v>26</v>
      </c>
    </row>
    <row r="277" spans="2:7">
      <c r="B277" t="s">
        <v>48</v>
      </c>
      <c r="C277" s="2">
        <v>46187</v>
      </c>
      <c r="D277" t="s">
        <v>57</v>
      </c>
      <c r="E277">
        <v>44.9</v>
      </c>
      <c r="G277" t="s">
        <v>32</v>
      </c>
    </row>
    <row r="278" spans="2:7">
      <c r="B278" t="s">
        <v>48</v>
      </c>
      <c r="C278" s="2">
        <v>46187</v>
      </c>
      <c r="D278" t="s">
        <v>58</v>
      </c>
      <c r="E278">
        <v>102.9</v>
      </c>
      <c r="G278" t="s">
        <v>24</v>
      </c>
    </row>
    <row r="279" spans="2:7">
      <c r="B279" t="s">
        <v>48</v>
      </c>
      <c r="C279" s="2">
        <v>46187</v>
      </c>
      <c r="D279" t="s">
        <v>59</v>
      </c>
      <c r="E279">
        <v>56.9</v>
      </c>
      <c r="G279" t="s">
        <v>43</v>
      </c>
    </row>
    <row r="280" spans="2:7">
      <c r="B280" t="s">
        <v>48</v>
      </c>
      <c r="C280" s="2">
        <v>46188</v>
      </c>
      <c r="D280" t="s">
        <v>60</v>
      </c>
      <c r="E280">
        <v>33.1</v>
      </c>
      <c r="G280" t="s">
        <v>45</v>
      </c>
    </row>
    <row r="281" spans="2:7">
      <c r="B281" t="s">
        <v>49</v>
      </c>
      <c r="C281" s="2">
        <v>46189</v>
      </c>
      <c r="D281" t="s">
        <v>61</v>
      </c>
      <c r="E281">
        <v>30</v>
      </c>
      <c r="G281" t="s">
        <v>37</v>
      </c>
    </row>
    <row r="282" spans="2:7">
      <c r="B282" t="s">
        <v>48</v>
      </c>
      <c r="C282" s="2">
        <v>46189</v>
      </c>
      <c r="D282" t="s">
        <v>51</v>
      </c>
      <c r="E282">
        <v>5</v>
      </c>
      <c r="G282" t="s">
        <v>26</v>
      </c>
    </row>
    <row r="283" spans="2:7">
      <c r="B283" t="s">
        <v>48</v>
      </c>
      <c r="C283" s="2">
        <v>46190</v>
      </c>
      <c r="D283" t="s">
        <v>51</v>
      </c>
      <c r="E283">
        <v>5</v>
      </c>
      <c r="G283" t="s">
        <v>26</v>
      </c>
    </row>
    <row r="284" spans="2:7">
      <c r="B284" t="s">
        <v>49</v>
      </c>
      <c r="C284" s="2">
        <v>46190</v>
      </c>
      <c r="D284" t="s">
        <v>63</v>
      </c>
      <c r="E284">
        <v>40</v>
      </c>
      <c r="G284" t="s">
        <v>41</v>
      </c>
    </row>
    <row r="285" spans="2:7">
      <c r="B285" t="s">
        <v>48</v>
      </c>
      <c r="C285" s="2">
        <v>46191</v>
      </c>
      <c r="D285" t="s">
        <v>64</v>
      </c>
      <c r="E285">
        <v>50.1</v>
      </c>
      <c r="G285" t="s">
        <v>35</v>
      </c>
    </row>
    <row r="286" spans="2:7">
      <c r="B286" t="s">
        <v>48</v>
      </c>
      <c r="C286" s="2">
        <v>46191</v>
      </c>
      <c r="D286" t="s">
        <v>65</v>
      </c>
      <c r="E286">
        <v>35</v>
      </c>
      <c r="G286" t="s">
        <v>32</v>
      </c>
    </row>
    <row r="287" spans="2:7">
      <c r="B287" t="s">
        <v>48</v>
      </c>
      <c r="C287" s="2">
        <v>46191</v>
      </c>
      <c r="D287" t="s">
        <v>51</v>
      </c>
      <c r="E287">
        <v>5</v>
      </c>
      <c r="G287" t="s">
        <v>26</v>
      </c>
    </row>
    <row r="288" spans="2:7">
      <c r="B288" t="s">
        <v>48</v>
      </c>
      <c r="C288" s="2">
        <v>46192</v>
      </c>
      <c r="D288" t="s">
        <v>51</v>
      </c>
      <c r="E288">
        <v>5</v>
      </c>
      <c r="G288" t="s">
        <v>26</v>
      </c>
    </row>
    <row r="289" spans="2:7">
      <c r="B289" t="s">
        <v>48</v>
      </c>
      <c r="C289" s="2">
        <v>46193</v>
      </c>
      <c r="D289" t="s">
        <v>51</v>
      </c>
      <c r="E289">
        <v>5</v>
      </c>
      <c r="G289" t="s">
        <v>26</v>
      </c>
    </row>
    <row r="290" spans="2:7">
      <c r="B290" t="s">
        <v>48</v>
      </c>
      <c r="C290" s="2">
        <v>46193</v>
      </c>
      <c r="D290" t="s">
        <v>54</v>
      </c>
      <c r="E290">
        <v>234</v>
      </c>
      <c r="G290" t="s">
        <v>36</v>
      </c>
    </row>
    <row r="291" spans="2:7">
      <c r="B291" t="s">
        <v>48</v>
      </c>
      <c r="C291" s="2">
        <v>46194</v>
      </c>
      <c r="D291" t="s">
        <v>66</v>
      </c>
      <c r="E291">
        <v>42.1</v>
      </c>
      <c r="G291" t="s">
        <v>43</v>
      </c>
    </row>
    <row r="292" spans="2:7">
      <c r="B292" t="s">
        <v>48</v>
      </c>
      <c r="C292" s="2">
        <v>46195</v>
      </c>
      <c r="D292" t="s">
        <v>67</v>
      </c>
      <c r="E292">
        <v>17.099999999999998</v>
      </c>
      <c r="G292" t="s">
        <v>43</v>
      </c>
    </row>
    <row r="293" spans="2:7">
      <c r="B293" t="s">
        <v>49</v>
      </c>
      <c r="C293" s="2">
        <v>46196</v>
      </c>
      <c r="D293" t="s">
        <v>68</v>
      </c>
      <c r="E293">
        <v>55</v>
      </c>
      <c r="G293" t="s">
        <v>31</v>
      </c>
    </row>
    <row r="294" spans="2:7">
      <c r="B294" t="s">
        <v>48</v>
      </c>
      <c r="C294" s="2">
        <v>46196</v>
      </c>
      <c r="D294" t="s">
        <v>56</v>
      </c>
      <c r="E294">
        <v>67.900000000000006</v>
      </c>
      <c r="G294" t="s">
        <v>39</v>
      </c>
    </row>
    <row r="295" spans="2:7">
      <c r="B295" t="s">
        <v>48</v>
      </c>
      <c r="C295" s="2">
        <v>46196</v>
      </c>
      <c r="D295" t="s">
        <v>51</v>
      </c>
      <c r="E295">
        <v>5</v>
      </c>
      <c r="G295" t="s">
        <v>26</v>
      </c>
    </row>
    <row r="296" spans="2:7">
      <c r="B296" t="s">
        <v>48</v>
      </c>
      <c r="C296" s="2">
        <v>46197</v>
      </c>
      <c r="D296" t="s">
        <v>51</v>
      </c>
      <c r="E296">
        <v>5</v>
      </c>
      <c r="G296" t="s">
        <v>26</v>
      </c>
    </row>
    <row r="297" spans="2:7">
      <c r="B297" t="s">
        <v>48</v>
      </c>
      <c r="C297" s="2">
        <v>46198</v>
      </c>
      <c r="D297" t="s">
        <v>51</v>
      </c>
      <c r="E297">
        <v>5</v>
      </c>
      <c r="G297" t="s">
        <v>26</v>
      </c>
    </row>
    <row r="298" spans="2:7">
      <c r="B298" t="s">
        <v>48</v>
      </c>
      <c r="C298" s="2">
        <v>46199</v>
      </c>
      <c r="D298" t="s">
        <v>51</v>
      </c>
      <c r="E298">
        <v>5</v>
      </c>
      <c r="G298" t="s">
        <v>26</v>
      </c>
    </row>
    <row r="299" spans="2:7">
      <c r="B299" t="s">
        <v>48</v>
      </c>
      <c r="C299" s="2">
        <v>46200</v>
      </c>
      <c r="D299" t="s">
        <v>51</v>
      </c>
      <c r="E299">
        <v>5</v>
      </c>
      <c r="G299" t="s">
        <v>26</v>
      </c>
    </row>
    <row r="300" spans="2:7">
      <c r="B300" t="s">
        <v>48</v>
      </c>
      <c r="C300" s="2">
        <v>46200</v>
      </c>
      <c r="D300" t="s">
        <v>54</v>
      </c>
      <c r="E300">
        <v>166.9</v>
      </c>
      <c r="G300" t="s">
        <v>36</v>
      </c>
    </row>
    <row r="301" spans="2:7">
      <c r="B301" t="s">
        <v>48</v>
      </c>
      <c r="C301" s="2">
        <v>46201</v>
      </c>
      <c r="D301" t="s">
        <v>69</v>
      </c>
      <c r="E301">
        <v>129.9</v>
      </c>
      <c r="G301" t="s">
        <v>24</v>
      </c>
    </row>
    <row r="302" spans="2:7">
      <c r="B302" t="s">
        <v>48</v>
      </c>
      <c r="C302" s="2">
        <v>46201</v>
      </c>
      <c r="D302" t="s">
        <v>70</v>
      </c>
      <c r="E302">
        <v>180.29999999999998</v>
      </c>
      <c r="G302" t="s">
        <v>32</v>
      </c>
    </row>
    <row r="303" spans="2:7">
      <c r="B303" t="s">
        <v>48</v>
      </c>
      <c r="C303" s="2">
        <v>46202</v>
      </c>
      <c r="D303" t="s">
        <v>58</v>
      </c>
      <c r="E303">
        <v>150.1</v>
      </c>
      <c r="G303" t="s">
        <v>24</v>
      </c>
    </row>
    <row r="304" spans="2:7">
      <c r="B304" t="s">
        <v>48</v>
      </c>
      <c r="C304" s="2">
        <v>46202</v>
      </c>
      <c r="D304" t="s">
        <v>60</v>
      </c>
      <c r="E304">
        <v>28.200000000000003</v>
      </c>
      <c r="G304" t="s">
        <v>45</v>
      </c>
    </row>
    <row r="305" spans="2:7">
      <c r="B305" t="s">
        <v>48</v>
      </c>
      <c r="C305" s="2">
        <v>46202</v>
      </c>
      <c r="D305" t="s">
        <v>74</v>
      </c>
      <c r="E305">
        <v>15</v>
      </c>
      <c r="G305" t="s">
        <v>43</v>
      </c>
    </row>
    <row r="306" spans="2:7">
      <c r="B306" t="s">
        <v>48</v>
      </c>
      <c r="C306" s="2">
        <v>46203</v>
      </c>
      <c r="D306" t="s">
        <v>51</v>
      </c>
      <c r="E306">
        <v>5</v>
      </c>
      <c r="G306" t="s">
        <v>26</v>
      </c>
    </row>
    <row r="307" spans="2:7">
      <c r="B307" t="s">
        <v>48</v>
      </c>
      <c r="C307" s="2">
        <v>46204</v>
      </c>
      <c r="D307" t="s">
        <v>51</v>
      </c>
      <c r="E307">
        <v>5</v>
      </c>
      <c r="G307" t="s">
        <v>26</v>
      </c>
    </row>
    <row r="308" spans="2:7">
      <c r="B308" t="s">
        <v>49</v>
      </c>
      <c r="C308" s="2">
        <v>46205</v>
      </c>
      <c r="D308" t="s">
        <v>50</v>
      </c>
      <c r="F308">
        <v>4000</v>
      </c>
      <c r="G308" t="s">
        <v>44</v>
      </c>
    </row>
    <row r="309" spans="2:7">
      <c r="B309" t="s">
        <v>92</v>
      </c>
      <c r="C309" s="2">
        <v>46205</v>
      </c>
      <c r="D309" t="s">
        <v>38</v>
      </c>
      <c r="F309">
        <v>41</v>
      </c>
      <c r="G309" t="s">
        <v>38</v>
      </c>
    </row>
    <row r="310" spans="2:7">
      <c r="B310" t="s">
        <v>48</v>
      </c>
      <c r="C310" s="2">
        <v>46206</v>
      </c>
      <c r="D310" t="s">
        <v>51</v>
      </c>
      <c r="E310">
        <v>5</v>
      </c>
      <c r="G310" t="s">
        <v>26</v>
      </c>
    </row>
    <row r="311" spans="2:7">
      <c r="B311" t="s">
        <v>49</v>
      </c>
      <c r="C311" s="2">
        <v>46208</v>
      </c>
      <c r="D311" t="s">
        <v>52</v>
      </c>
      <c r="E311">
        <v>900</v>
      </c>
      <c r="G311" t="s">
        <v>42</v>
      </c>
    </row>
    <row r="312" spans="2:7">
      <c r="B312" t="s">
        <v>49</v>
      </c>
      <c r="C312" s="2">
        <v>46208</v>
      </c>
      <c r="D312" t="s">
        <v>53</v>
      </c>
      <c r="E312">
        <v>150</v>
      </c>
      <c r="G312" t="s">
        <v>40</v>
      </c>
    </row>
    <row r="313" spans="2:7">
      <c r="B313" t="s">
        <v>48</v>
      </c>
      <c r="C313" s="2">
        <v>46208</v>
      </c>
      <c r="D313" t="s">
        <v>77</v>
      </c>
      <c r="E313">
        <v>15</v>
      </c>
      <c r="G313" t="s">
        <v>43</v>
      </c>
    </row>
    <row r="314" spans="2:7">
      <c r="B314" t="s">
        <v>48</v>
      </c>
      <c r="C314" s="2">
        <v>46208</v>
      </c>
      <c r="D314" t="s">
        <v>51</v>
      </c>
      <c r="E314">
        <v>5</v>
      </c>
      <c r="G314" t="s">
        <v>26</v>
      </c>
    </row>
    <row r="315" spans="2:7">
      <c r="B315" t="s">
        <v>48</v>
      </c>
      <c r="C315" s="2">
        <v>46209</v>
      </c>
      <c r="D315" t="s">
        <v>51</v>
      </c>
      <c r="E315">
        <v>5</v>
      </c>
      <c r="G315" t="s">
        <v>26</v>
      </c>
    </row>
    <row r="316" spans="2:7">
      <c r="B316" t="s">
        <v>48</v>
      </c>
      <c r="C316" s="2">
        <v>46210</v>
      </c>
      <c r="D316" t="s">
        <v>51</v>
      </c>
      <c r="E316">
        <v>5</v>
      </c>
      <c r="G316" t="s">
        <v>26</v>
      </c>
    </row>
    <row r="317" spans="2:7">
      <c r="B317" t="s">
        <v>48</v>
      </c>
      <c r="C317" s="2">
        <v>46210</v>
      </c>
      <c r="D317" t="s">
        <v>54</v>
      </c>
      <c r="E317">
        <v>180</v>
      </c>
      <c r="G317" t="s">
        <v>36</v>
      </c>
    </row>
    <row r="318" spans="2:7">
      <c r="B318" t="s">
        <v>49</v>
      </c>
      <c r="C318" s="2">
        <v>46213</v>
      </c>
      <c r="D318" t="s">
        <v>55</v>
      </c>
      <c r="E318">
        <v>56.1</v>
      </c>
      <c r="G318" t="s">
        <v>34</v>
      </c>
    </row>
    <row r="319" spans="2:7">
      <c r="B319" t="s">
        <v>48</v>
      </c>
      <c r="C319" s="2">
        <v>46213</v>
      </c>
      <c r="D319" t="s">
        <v>51</v>
      </c>
      <c r="E319">
        <v>5</v>
      </c>
      <c r="G319" t="s">
        <v>26</v>
      </c>
    </row>
    <row r="320" spans="2:7">
      <c r="B320" t="s">
        <v>48</v>
      </c>
      <c r="C320" s="2">
        <v>46214</v>
      </c>
      <c r="D320" t="s">
        <v>51</v>
      </c>
      <c r="E320">
        <v>5</v>
      </c>
      <c r="G320" t="s">
        <v>26</v>
      </c>
    </row>
    <row r="321" spans="2:7">
      <c r="B321" t="s">
        <v>48</v>
      </c>
      <c r="C321" s="2">
        <v>46215</v>
      </c>
      <c r="D321" t="s">
        <v>56</v>
      </c>
      <c r="E321">
        <v>83.1</v>
      </c>
      <c r="G321" t="s">
        <v>39</v>
      </c>
    </row>
    <row r="322" spans="2:7">
      <c r="B322" t="s">
        <v>48</v>
      </c>
      <c r="C322" s="2">
        <v>46215</v>
      </c>
      <c r="D322" t="s">
        <v>51</v>
      </c>
      <c r="E322">
        <v>5</v>
      </c>
      <c r="G322" t="s">
        <v>26</v>
      </c>
    </row>
    <row r="323" spans="2:7">
      <c r="B323" t="s">
        <v>48</v>
      </c>
      <c r="C323" s="2">
        <v>46216</v>
      </c>
      <c r="D323" t="s">
        <v>51</v>
      </c>
      <c r="E323">
        <v>5</v>
      </c>
      <c r="G323" t="s">
        <v>26</v>
      </c>
    </row>
    <row r="324" spans="2:7">
      <c r="B324" t="s">
        <v>48</v>
      </c>
      <c r="C324" s="2">
        <v>46217</v>
      </c>
      <c r="D324" t="s">
        <v>54</v>
      </c>
      <c r="E324">
        <v>141.1</v>
      </c>
      <c r="G324" t="s">
        <v>36</v>
      </c>
    </row>
    <row r="325" spans="2:7">
      <c r="B325" t="s">
        <v>48</v>
      </c>
      <c r="C325" s="2">
        <v>46217</v>
      </c>
      <c r="D325" t="s">
        <v>51</v>
      </c>
      <c r="E325">
        <v>5</v>
      </c>
      <c r="G325" t="s">
        <v>26</v>
      </c>
    </row>
    <row r="326" spans="2:7">
      <c r="B326" t="s">
        <v>48</v>
      </c>
      <c r="C326" s="2">
        <v>46218</v>
      </c>
      <c r="D326" t="s">
        <v>51</v>
      </c>
      <c r="E326">
        <v>5</v>
      </c>
      <c r="G326" t="s">
        <v>26</v>
      </c>
    </row>
    <row r="327" spans="2:7">
      <c r="B327" t="s">
        <v>48</v>
      </c>
      <c r="C327" s="2">
        <v>46218</v>
      </c>
      <c r="D327" t="s">
        <v>57</v>
      </c>
      <c r="E327">
        <v>45.8</v>
      </c>
      <c r="G327" t="s">
        <v>32</v>
      </c>
    </row>
    <row r="328" spans="2:7">
      <c r="B328" t="s">
        <v>48</v>
      </c>
      <c r="C328" s="2">
        <v>46218</v>
      </c>
      <c r="D328" t="s">
        <v>58</v>
      </c>
      <c r="E328">
        <v>103.80000000000001</v>
      </c>
      <c r="G328" t="s">
        <v>24</v>
      </c>
    </row>
    <row r="329" spans="2:7">
      <c r="B329" t="s">
        <v>48</v>
      </c>
      <c r="C329" s="2">
        <v>46218</v>
      </c>
      <c r="D329" t="s">
        <v>59</v>
      </c>
      <c r="E329">
        <v>58</v>
      </c>
      <c r="G329" t="s">
        <v>43</v>
      </c>
    </row>
    <row r="330" spans="2:7">
      <c r="B330" t="s">
        <v>48</v>
      </c>
      <c r="C330" s="2">
        <v>46219</v>
      </c>
      <c r="D330" t="s">
        <v>60</v>
      </c>
      <c r="E330">
        <v>34.200000000000003</v>
      </c>
      <c r="G330" t="s">
        <v>45</v>
      </c>
    </row>
    <row r="331" spans="2:7">
      <c r="B331" t="s">
        <v>49</v>
      </c>
      <c r="C331" s="2">
        <v>46220</v>
      </c>
      <c r="D331" t="s">
        <v>61</v>
      </c>
      <c r="E331">
        <v>30</v>
      </c>
      <c r="G331" t="s">
        <v>37</v>
      </c>
    </row>
    <row r="332" spans="2:7">
      <c r="B332" t="s">
        <v>48</v>
      </c>
      <c r="C332" s="2">
        <v>46220</v>
      </c>
      <c r="D332" t="s">
        <v>51</v>
      </c>
      <c r="E332">
        <v>5</v>
      </c>
      <c r="G332" t="s">
        <v>26</v>
      </c>
    </row>
    <row r="333" spans="2:7">
      <c r="B333" t="s">
        <v>48</v>
      </c>
      <c r="C333" s="2">
        <v>46221</v>
      </c>
      <c r="D333" t="s">
        <v>51</v>
      </c>
      <c r="E333">
        <v>5</v>
      </c>
      <c r="G333" t="s">
        <v>26</v>
      </c>
    </row>
    <row r="334" spans="2:7">
      <c r="B334" t="s">
        <v>49</v>
      </c>
      <c r="C334" s="2">
        <v>46221</v>
      </c>
      <c r="D334" t="s">
        <v>63</v>
      </c>
      <c r="E334">
        <v>40</v>
      </c>
      <c r="G334" t="s">
        <v>41</v>
      </c>
    </row>
    <row r="335" spans="2:7">
      <c r="B335" t="s">
        <v>48</v>
      </c>
      <c r="C335" s="2">
        <v>46222</v>
      </c>
      <c r="D335" t="s">
        <v>64</v>
      </c>
      <c r="E335">
        <v>51.1</v>
      </c>
      <c r="G335" t="s">
        <v>35</v>
      </c>
    </row>
    <row r="336" spans="2:7">
      <c r="B336" t="s">
        <v>48</v>
      </c>
      <c r="C336" s="2">
        <v>46222</v>
      </c>
      <c r="D336" t="s">
        <v>65</v>
      </c>
      <c r="E336">
        <v>35</v>
      </c>
      <c r="G336" t="s">
        <v>32</v>
      </c>
    </row>
    <row r="337" spans="2:7">
      <c r="B337" t="s">
        <v>48</v>
      </c>
      <c r="C337" s="2">
        <v>46222</v>
      </c>
      <c r="D337" t="s">
        <v>51</v>
      </c>
      <c r="E337">
        <v>5</v>
      </c>
      <c r="G337" t="s">
        <v>26</v>
      </c>
    </row>
    <row r="338" spans="2:7">
      <c r="B338" t="s">
        <v>48</v>
      </c>
      <c r="C338" s="2">
        <v>46223</v>
      </c>
      <c r="D338" t="s">
        <v>51</v>
      </c>
      <c r="E338">
        <v>5</v>
      </c>
      <c r="G338" t="s">
        <v>26</v>
      </c>
    </row>
    <row r="339" spans="2:7">
      <c r="B339" t="s">
        <v>48</v>
      </c>
      <c r="C339" s="2">
        <v>46224</v>
      </c>
      <c r="D339" t="s">
        <v>51</v>
      </c>
      <c r="E339">
        <v>5</v>
      </c>
      <c r="G339" t="s">
        <v>26</v>
      </c>
    </row>
    <row r="340" spans="2:7">
      <c r="B340" t="s">
        <v>48</v>
      </c>
      <c r="C340" s="2">
        <v>46224</v>
      </c>
      <c r="D340" t="s">
        <v>54</v>
      </c>
      <c r="E340">
        <v>176</v>
      </c>
      <c r="G340" t="s">
        <v>36</v>
      </c>
    </row>
    <row r="341" spans="2:7">
      <c r="B341" t="s">
        <v>48</v>
      </c>
      <c r="C341" s="2">
        <v>46225</v>
      </c>
      <c r="D341" t="s">
        <v>66</v>
      </c>
      <c r="E341">
        <v>43.1</v>
      </c>
      <c r="G341" t="s">
        <v>43</v>
      </c>
    </row>
    <row r="342" spans="2:7">
      <c r="B342" t="s">
        <v>48</v>
      </c>
      <c r="C342" s="2">
        <v>46226</v>
      </c>
      <c r="D342" t="s">
        <v>67</v>
      </c>
      <c r="E342">
        <v>18.2</v>
      </c>
      <c r="G342" t="s">
        <v>43</v>
      </c>
    </row>
    <row r="343" spans="2:7">
      <c r="B343" t="s">
        <v>49</v>
      </c>
      <c r="C343" s="2">
        <v>46227</v>
      </c>
      <c r="D343" t="s">
        <v>68</v>
      </c>
      <c r="E343">
        <v>55</v>
      </c>
      <c r="G343" t="s">
        <v>31</v>
      </c>
    </row>
    <row r="344" spans="2:7">
      <c r="B344" t="s">
        <v>48</v>
      </c>
      <c r="C344" s="2">
        <v>46227</v>
      </c>
      <c r="D344" t="s">
        <v>56</v>
      </c>
      <c r="E344">
        <v>68.800000000000011</v>
      </c>
      <c r="G344" t="s">
        <v>39</v>
      </c>
    </row>
    <row r="345" spans="2:7">
      <c r="B345" t="s">
        <v>48</v>
      </c>
      <c r="C345" s="2">
        <v>46227</v>
      </c>
      <c r="D345" t="s">
        <v>51</v>
      </c>
      <c r="E345">
        <v>5</v>
      </c>
      <c r="G345" t="s">
        <v>26</v>
      </c>
    </row>
    <row r="346" spans="2:7">
      <c r="B346" t="s">
        <v>48</v>
      </c>
      <c r="C346" s="2">
        <v>46228</v>
      </c>
      <c r="D346" t="s">
        <v>51</v>
      </c>
      <c r="E346">
        <v>5</v>
      </c>
      <c r="G346" t="s">
        <v>26</v>
      </c>
    </row>
    <row r="347" spans="2:7">
      <c r="B347" t="s">
        <v>48</v>
      </c>
      <c r="C347" s="2">
        <v>46229</v>
      </c>
      <c r="D347" t="s">
        <v>51</v>
      </c>
      <c r="E347">
        <v>5</v>
      </c>
      <c r="G347" t="s">
        <v>26</v>
      </c>
    </row>
    <row r="348" spans="2:7">
      <c r="B348" t="s">
        <v>48</v>
      </c>
      <c r="C348" s="2">
        <v>46230</v>
      </c>
      <c r="D348" t="s">
        <v>51</v>
      </c>
      <c r="E348">
        <v>5</v>
      </c>
      <c r="G348" t="s">
        <v>26</v>
      </c>
    </row>
    <row r="349" spans="2:7">
      <c r="B349" t="s">
        <v>48</v>
      </c>
      <c r="C349" s="2">
        <v>46231</v>
      </c>
      <c r="D349" t="s">
        <v>51</v>
      </c>
      <c r="E349">
        <v>5</v>
      </c>
      <c r="G349" t="s">
        <v>26</v>
      </c>
    </row>
    <row r="350" spans="2:7">
      <c r="B350" t="s">
        <v>48</v>
      </c>
      <c r="C350" s="2">
        <v>46231</v>
      </c>
      <c r="D350" t="s">
        <v>54</v>
      </c>
      <c r="E350">
        <v>193</v>
      </c>
      <c r="G350" t="s">
        <v>36</v>
      </c>
    </row>
    <row r="351" spans="2:7">
      <c r="B351" t="s">
        <v>48</v>
      </c>
      <c r="C351" s="2">
        <v>46232</v>
      </c>
      <c r="D351" t="s">
        <v>69</v>
      </c>
      <c r="E351">
        <v>130.80000000000001</v>
      </c>
      <c r="G351" t="s">
        <v>24</v>
      </c>
    </row>
    <row r="352" spans="2:7">
      <c r="B352" t="s">
        <v>48</v>
      </c>
      <c r="C352" s="2">
        <v>46232</v>
      </c>
      <c r="D352" t="s">
        <v>76</v>
      </c>
      <c r="E352">
        <v>181.39999999999998</v>
      </c>
      <c r="G352" t="s">
        <v>33</v>
      </c>
    </row>
    <row r="353" spans="2:7">
      <c r="B353" t="s">
        <v>48</v>
      </c>
      <c r="C353" s="2">
        <v>46233</v>
      </c>
      <c r="D353" t="s">
        <v>58</v>
      </c>
      <c r="E353">
        <v>151.19999999999999</v>
      </c>
      <c r="G353" t="s">
        <v>24</v>
      </c>
    </row>
    <row r="354" spans="2:7">
      <c r="B354" t="s">
        <v>48</v>
      </c>
      <c r="C354" s="2">
        <v>46233</v>
      </c>
      <c r="D354" t="s">
        <v>60</v>
      </c>
      <c r="E354">
        <v>29.300000000000004</v>
      </c>
      <c r="G354" t="s">
        <v>45</v>
      </c>
    </row>
    <row r="355" spans="2:7">
      <c r="B355" t="s">
        <v>48</v>
      </c>
      <c r="C355" s="2">
        <v>46233</v>
      </c>
      <c r="D355" t="s">
        <v>74</v>
      </c>
      <c r="E355">
        <v>15</v>
      </c>
      <c r="G355" t="s">
        <v>43</v>
      </c>
    </row>
    <row r="356" spans="2:7">
      <c r="B356" t="s">
        <v>48</v>
      </c>
      <c r="C356" s="2">
        <v>46234</v>
      </c>
      <c r="D356" t="s">
        <v>51</v>
      </c>
      <c r="E356">
        <v>5</v>
      </c>
      <c r="G356" t="s">
        <v>26</v>
      </c>
    </row>
    <row r="357" spans="2:7">
      <c r="B357" t="s">
        <v>48</v>
      </c>
      <c r="C357" s="2">
        <v>46236</v>
      </c>
      <c r="D357" t="s">
        <v>51</v>
      </c>
      <c r="E357">
        <v>5</v>
      </c>
      <c r="G357" t="s">
        <v>26</v>
      </c>
    </row>
    <row r="358" spans="2:7">
      <c r="B358" t="s">
        <v>49</v>
      </c>
      <c r="C358" s="2">
        <v>46236</v>
      </c>
      <c r="D358" t="s">
        <v>50</v>
      </c>
      <c r="F358">
        <v>4000</v>
      </c>
      <c r="G358" t="s">
        <v>44</v>
      </c>
    </row>
    <row r="359" spans="2:7">
      <c r="B359" t="s">
        <v>92</v>
      </c>
      <c r="C359" s="2">
        <v>46236</v>
      </c>
      <c r="D359" t="s">
        <v>38</v>
      </c>
      <c r="F359">
        <v>42</v>
      </c>
      <c r="G359" t="s">
        <v>38</v>
      </c>
    </row>
    <row r="360" spans="2:7">
      <c r="B360" t="s">
        <v>48</v>
      </c>
      <c r="C360" s="2">
        <v>46237</v>
      </c>
      <c r="D360" t="s">
        <v>51</v>
      </c>
      <c r="E360">
        <v>5</v>
      </c>
      <c r="G360" t="s">
        <v>26</v>
      </c>
    </row>
    <row r="361" spans="2:7">
      <c r="B361" t="s">
        <v>49</v>
      </c>
      <c r="C361" s="2">
        <v>46239</v>
      </c>
      <c r="D361" t="s">
        <v>52</v>
      </c>
      <c r="E361">
        <v>900</v>
      </c>
      <c r="G361" t="s">
        <v>42</v>
      </c>
    </row>
    <row r="362" spans="2:7">
      <c r="B362" t="s">
        <v>49</v>
      </c>
      <c r="C362" s="2">
        <v>46239</v>
      </c>
      <c r="D362" t="s">
        <v>53</v>
      </c>
      <c r="E362">
        <v>150</v>
      </c>
      <c r="G362" t="s">
        <v>40</v>
      </c>
    </row>
    <row r="363" spans="2:7">
      <c r="B363" t="s">
        <v>48</v>
      </c>
      <c r="C363" s="2">
        <v>46239</v>
      </c>
      <c r="D363" t="s">
        <v>51</v>
      </c>
      <c r="E363">
        <v>5</v>
      </c>
      <c r="G363" t="s">
        <v>26</v>
      </c>
    </row>
    <row r="364" spans="2:7">
      <c r="B364" t="s">
        <v>48</v>
      </c>
      <c r="C364" s="2">
        <v>46239</v>
      </c>
      <c r="D364" t="s">
        <v>51</v>
      </c>
      <c r="E364">
        <v>5</v>
      </c>
      <c r="G364" t="s">
        <v>26</v>
      </c>
    </row>
    <row r="365" spans="2:7">
      <c r="B365" t="s">
        <v>48</v>
      </c>
      <c r="C365" s="2">
        <v>46240</v>
      </c>
      <c r="D365" t="s">
        <v>51</v>
      </c>
      <c r="E365">
        <v>5</v>
      </c>
      <c r="G365" t="s">
        <v>26</v>
      </c>
    </row>
    <row r="366" spans="2:7">
      <c r="B366" t="s">
        <v>48</v>
      </c>
      <c r="C366" s="2">
        <v>46241</v>
      </c>
      <c r="D366" t="s">
        <v>51</v>
      </c>
      <c r="E366">
        <v>5</v>
      </c>
      <c r="G366" t="s">
        <v>26</v>
      </c>
    </row>
    <row r="367" spans="2:7">
      <c r="B367" t="s">
        <v>48</v>
      </c>
      <c r="C367" s="2">
        <v>46241</v>
      </c>
      <c r="D367" t="s">
        <v>54</v>
      </c>
      <c r="E367">
        <v>137</v>
      </c>
      <c r="G367" t="s">
        <v>36</v>
      </c>
    </row>
    <row r="368" spans="2:7">
      <c r="B368" t="s">
        <v>49</v>
      </c>
      <c r="C368" s="2">
        <v>46244</v>
      </c>
      <c r="D368" t="s">
        <v>55</v>
      </c>
      <c r="E368">
        <v>57</v>
      </c>
      <c r="G368" t="s">
        <v>34</v>
      </c>
    </row>
    <row r="369" spans="2:7">
      <c r="B369" t="s">
        <v>48</v>
      </c>
      <c r="C369" s="2">
        <v>46244</v>
      </c>
      <c r="D369" t="s">
        <v>51</v>
      </c>
      <c r="E369">
        <v>5</v>
      </c>
      <c r="G369" t="s">
        <v>26</v>
      </c>
    </row>
    <row r="370" spans="2:7">
      <c r="B370" t="s">
        <v>48</v>
      </c>
      <c r="C370" s="2">
        <v>46245</v>
      </c>
      <c r="D370" t="s">
        <v>51</v>
      </c>
      <c r="E370">
        <v>5</v>
      </c>
      <c r="G370" t="s">
        <v>26</v>
      </c>
    </row>
    <row r="371" spans="2:7">
      <c r="B371" t="s">
        <v>48</v>
      </c>
      <c r="C371" s="2">
        <v>46246</v>
      </c>
      <c r="D371" t="s">
        <v>56</v>
      </c>
      <c r="E371">
        <v>84.199999999999989</v>
      </c>
      <c r="G371" t="s">
        <v>39</v>
      </c>
    </row>
    <row r="372" spans="2:7">
      <c r="B372" t="s">
        <v>48</v>
      </c>
      <c r="C372" s="2">
        <v>46246</v>
      </c>
      <c r="D372" t="s">
        <v>51</v>
      </c>
      <c r="E372">
        <v>5</v>
      </c>
      <c r="G372" t="s">
        <v>26</v>
      </c>
    </row>
    <row r="373" spans="2:7">
      <c r="B373" t="s">
        <v>48</v>
      </c>
      <c r="C373" s="2">
        <v>46247</v>
      </c>
      <c r="D373" t="s">
        <v>51</v>
      </c>
      <c r="E373">
        <v>5</v>
      </c>
      <c r="G373" t="s">
        <v>26</v>
      </c>
    </row>
    <row r="374" spans="2:7">
      <c r="B374" t="s">
        <v>48</v>
      </c>
      <c r="C374" s="2">
        <v>46248</v>
      </c>
      <c r="D374" t="s">
        <v>54</v>
      </c>
      <c r="E374">
        <v>142.1</v>
      </c>
      <c r="G374" t="s">
        <v>36</v>
      </c>
    </row>
    <row r="375" spans="2:7">
      <c r="B375" t="s">
        <v>48</v>
      </c>
      <c r="C375" s="2">
        <v>46248</v>
      </c>
      <c r="D375" t="s">
        <v>51</v>
      </c>
      <c r="E375">
        <v>5</v>
      </c>
      <c r="G375" t="s">
        <v>26</v>
      </c>
    </row>
    <row r="376" spans="2:7">
      <c r="B376" t="s">
        <v>48</v>
      </c>
      <c r="C376" s="2">
        <v>46249</v>
      </c>
      <c r="D376" t="s">
        <v>51</v>
      </c>
      <c r="E376">
        <v>5</v>
      </c>
      <c r="G376" t="s">
        <v>26</v>
      </c>
    </row>
    <row r="377" spans="2:7">
      <c r="B377" t="s">
        <v>48</v>
      </c>
      <c r="C377" s="2">
        <v>46249</v>
      </c>
      <c r="D377" t="s">
        <v>57</v>
      </c>
      <c r="E377">
        <v>46.8</v>
      </c>
      <c r="G377" t="s">
        <v>32</v>
      </c>
    </row>
    <row r="378" spans="2:7">
      <c r="B378" t="s">
        <v>48</v>
      </c>
      <c r="C378" s="2">
        <v>46249</v>
      </c>
      <c r="D378" t="s">
        <v>58</v>
      </c>
      <c r="E378">
        <v>104.70000000000002</v>
      </c>
      <c r="G378" t="s">
        <v>24</v>
      </c>
    </row>
    <row r="379" spans="2:7">
      <c r="B379" t="s">
        <v>48</v>
      </c>
      <c r="C379" s="2">
        <v>46249</v>
      </c>
      <c r="D379" t="s">
        <v>59</v>
      </c>
      <c r="E379">
        <v>59.1</v>
      </c>
      <c r="G379" t="s">
        <v>43</v>
      </c>
    </row>
    <row r="380" spans="2:7">
      <c r="B380" t="s">
        <v>48</v>
      </c>
      <c r="C380" s="2">
        <v>46250</v>
      </c>
      <c r="D380" t="s">
        <v>60</v>
      </c>
      <c r="E380">
        <v>35.1</v>
      </c>
      <c r="G380" t="s">
        <v>45</v>
      </c>
    </row>
    <row r="381" spans="2:7">
      <c r="B381" t="s">
        <v>49</v>
      </c>
      <c r="C381" s="2">
        <v>46251</v>
      </c>
      <c r="D381" t="s">
        <v>61</v>
      </c>
      <c r="E381">
        <v>30</v>
      </c>
      <c r="G381" t="s">
        <v>37</v>
      </c>
    </row>
    <row r="382" spans="2:7">
      <c r="B382" t="s">
        <v>48</v>
      </c>
      <c r="C382" s="2">
        <v>46251</v>
      </c>
      <c r="D382" t="s">
        <v>51</v>
      </c>
      <c r="E382">
        <v>5</v>
      </c>
      <c r="G382" t="s">
        <v>26</v>
      </c>
    </row>
    <row r="383" spans="2:7">
      <c r="B383" t="s">
        <v>48</v>
      </c>
      <c r="C383" s="2">
        <v>46252</v>
      </c>
      <c r="D383" t="s">
        <v>51</v>
      </c>
      <c r="E383">
        <v>5</v>
      </c>
      <c r="G383" t="s">
        <v>26</v>
      </c>
    </row>
    <row r="384" spans="2:7">
      <c r="B384" t="s">
        <v>49</v>
      </c>
      <c r="C384" s="2">
        <v>46252</v>
      </c>
      <c r="D384" t="s">
        <v>63</v>
      </c>
      <c r="E384">
        <v>40</v>
      </c>
      <c r="G384" t="s">
        <v>41</v>
      </c>
    </row>
    <row r="385" spans="2:7">
      <c r="B385" t="s">
        <v>48</v>
      </c>
      <c r="C385" s="2">
        <v>46253</v>
      </c>
      <c r="D385" t="s">
        <v>64</v>
      </c>
      <c r="E385">
        <v>52.1</v>
      </c>
      <c r="G385" t="s">
        <v>35</v>
      </c>
    </row>
    <row r="386" spans="2:7">
      <c r="B386" t="s">
        <v>48</v>
      </c>
      <c r="C386" s="2">
        <v>46253</v>
      </c>
      <c r="D386" t="s">
        <v>65</v>
      </c>
      <c r="E386">
        <v>35</v>
      </c>
      <c r="G386" t="s">
        <v>32</v>
      </c>
    </row>
    <row r="387" spans="2:7">
      <c r="B387" t="s">
        <v>48</v>
      </c>
      <c r="C387" s="2">
        <v>46253</v>
      </c>
      <c r="D387" t="s">
        <v>51</v>
      </c>
      <c r="E387">
        <v>5</v>
      </c>
      <c r="G387" t="s">
        <v>26</v>
      </c>
    </row>
    <row r="388" spans="2:7">
      <c r="B388" t="s">
        <v>48</v>
      </c>
      <c r="C388" s="2">
        <v>46254</v>
      </c>
      <c r="D388" t="s">
        <v>51</v>
      </c>
      <c r="E388">
        <v>5</v>
      </c>
      <c r="G388" t="s">
        <v>26</v>
      </c>
    </row>
    <row r="389" spans="2:7">
      <c r="B389" t="s">
        <v>48</v>
      </c>
      <c r="C389" s="2">
        <v>46255</v>
      </c>
      <c r="D389" t="s">
        <v>51</v>
      </c>
      <c r="E389">
        <v>5</v>
      </c>
      <c r="G389" t="s">
        <v>26</v>
      </c>
    </row>
    <row r="390" spans="2:7">
      <c r="B390" t="s">
        <v>48</v>
      </c>
      <c r="C390" s="2">
        <v>46255</v>
      </c>
      <c r="D390" t="s">
        <v>54</v>
      </c>
      <c r="E390">
        <v>177</v>
      </c>
      <c r="G390" t="s">
        <v>36</v>
      </c>
    </row>
    <row r="391" spans="2:7">
      <c r="B391" t="s">
        <v>48</v>
      </c>
      <c r="C391" s="2">
        <v>46256</v>
      </c>
      <c r="D391" t="s">
        <v>66</v>
      </c>
      <c r="E391">
        <v>44.2</v>
      </c>
      <c r="G391" t="s">
        <v>43</v>
      </c>
    </row>
    <row r="392" spans="2:7">
      <c r="B392" t="s">
        <v>48</v>
      </c>
      <c r="C392" s="2">
        <v>46257</v>
      </c>
      <c r="D392" t="s">
        <v>67</v>
      </c>
      <c r="E392">
        <v>19.2</v>
      </c>
      <c r="G392" t="s">
        <v>43</v>
      </c>
    </row>
    <row r="393" spans="2:7">
      <c r="B393" t="s">
        <v>49</v>
      </c>
      <c r="C393" s="2">
        <v>46258</v>
      </c>
      <c r="D393" t="s">
        <v>68</v>
      </c>
      <c r="E393">
        <v>55</v>
      </c>
      <c r="G393" t="s">
        <v>31</v>
      </c>
    </row>
    <row r="394" spans="2:7">
      <c r="B394" t="s">
        <v>48</v>
      </c>
      <c r="C394" s="2">
        <v>46258</v>
      </c>
      <c r="D394" t="s">
        <v>56</v>
      </c>
      <c r="E394">
        <v>69.700000000000017</v>
      </c>
      <c r="G394" t="s">
        <v>39</v>
      </c>
    </row>
    <row r="395" spans="2:7">
      <c r="B395" t="s">
        <v>48</v>
      </c>
      <c r="C395" s="2">
        <v>46258</v>
      </c>
      <c r="D395" t="s">
        <v>51</v>
      </c>
      <c r="E395">
        <v>5</v>
      </c>
      <c r="G395" t="s">
        <v>26</v>
      </c>
    </row>
    <row r="396" spans="2:7">
      <c r="B396" t="s">
        <v>48</v>
      </c>
      <c r="C396" s="2">
        <v>46259</v>
      </c>
      <c r="D396" t="s">
        <v>51</v>
      </c>
      <c r="E396">
        <v>5</v>
      </c>
      <c r="G396" t="s">
        <v>26</v>
      </c>
    </row>
    <row r="397" spans="2:7">
      <c r="B397" t="s">
        <v>48</v>
      </c>
      <c r="C397" s="2">
        <v>46260</v>
      </c>
      <c r="D397" t="s">
        <v>51</v>
      </c>
      <c r="E397">
        <v>5</v>
      </c>
      <c r="G397" t="s">
        <v>26</v>
      </c>
    </row>
    <row r="398" spans="2:7">
      <c r="B398" t="s">
        <v>48</v>
      </c>
      <c r="C398" s="2">
        <v>46261</v>
      </c>
      <c r="D398" t="s">
        <v>51</v>
      </c>
      <c r="E398">
        <v>5</v>
      </c>
      <c r="G398" t="s">
        <v>26</v>
      </c>
    </row>
    <row r="399" spans="2:7">
      <c r="B399" t="s">
        <v>48</v>
      </c>
      <c r="C399" s="2">
        <v>46262</v>
      </c>
      <c r="D399" t="s">
        <v>51</v>
      </c>
      <c r="E399">
        <v>5</v>
      </c>
      <c r="G399" t="s">
        <v>26</v>
      </c>
    </row>
    <row r="400" spans="2:7">
      <c r="B400" t="s">
        <v>48</v>
      </c>
      <c r="C400" s="2">
        <v>46262</v>
      </c>
      <c r="D400" t="s">
        <v>54</v>
      </c>
      <c r="E400">
        <v>117</v>
      </c>
      <c r="G400" t="s">
        <v>36</v>
      </c>
    </row>
    <row r="401" spans="2:7">
      <c r="B401" t="s">
        <v>48</v>
      </c>
      <c r="C401" s="2">
        <v>46263</v>
      </c>
      <c r="D401" t="s">
        <v>69</v>
      </c>
      <c r="E401">
        <v>131.9</v>
      </c>
      <c r="G401" t="s">
        <v>24</v>
      </c>
    </row>
    <row r="402" spans="2:7">
      <c r="B402" t="s">
        <v>48</v>
      </c>
      <c r="C402" s="2">
        <v>46263</v>
      </c>
      <c r="D402" t="s">
        <v>70</v>
      </c>
      <c r="E402">
        <v>182.39999999999998</v>
      </c>
      <c r="G402" t="s">
        <v>32</v>
      </c>
    </row>
    <row r="403" spans="2:7">
      <c r="B403" t="s">
        <v>48</v>
      </c>
      <c r="C403" s="2">
        <v>46264</v>
      </c>
      <c r="D403" t="s">
        <v>58</v>
      </c>
      <c r="E403">
        <v>152.29999999999998</v>
      </c>
      <c r="G403" t="s">
        <v>24</v>
      </c>
    </row>
    <row r="404" spans="2:7">
      <c r="B404" t="s">
        <v>48</v>
      </c>
      <c r="C404" s="2">
        <v>46264</v>
      </c>
      <c r="D404" t="s">
        <v>60</v>
      </c>
      <c r="E404">
        <v>30.300000000000004</v>
      </c>
      <c r="G404" t="s">
        <v>45</v>
      </c>
    </row>
    <row r="405" spans="2:7">
      <c r="B405" t="s">
        <v>48</v>
      </c>
      <c r="C405" s="2">
        <v>46264</v>
      </c>
      <c r="D405" t="s">
        <v>74</v>
      </c>
      <c r="E405">
        <v>15</v>
      </c>
      <c r="G405" t="s">
        <v>43</v>
      </c>
    </row>
    <row r="406" spans="2:7">
      <c r="B406" t="s">
        <v>48</v>
      </c>
      <c r="C406" s="2">
        <v>46265</v>
      </c>
      <c r="D406" t="s">
        <v>51</v>
      </c>
      <c r="E406">
        <v>5</v>
      </c>
      <c r="G406" t="s">
        <v>26</v>
      </c>
    </row>
    <row r="407" spans="2:7">
      <c r="B407" t="s">
        <v>48</v>
      </c>
      <c r="C407" s="2">
        <v>46267</v>
      </c>
      <c r="D407" t="s">
        <v>51</v>
      </c>
      <c r="E407">
        <v>5</v>
      </c>
      <c r="G407" t="s">
        <v>26</v>
      </c>
    </row>
    <row r="408" spans="2:7">
      <c r="B408" t="s">
        <v>49</v>
      </c>
      <c r="C408" s="2">
        <v>46267</v>
      </c>
      <c r="D408" t="s">
        <v>50</v>
      </c>
      <c r="F408">
        <v>4000</v>
      </c>
      <c r="G408" t="s">
        <v>44</v>
      </c>
    </row>
    <row r="409" spans="2:7">
      <c r="B409" t="s">
        <v>92</v>
      </c>
      <c r="C409" s="2">
        <v>46267</v>
      </c>
      <c r="D409" t="s">
        <v>38</v>
      </c>
      <c r="F409">
        <v>43</v>
      </c>
      <c r="G409" t="s">
        <v>38</v>
      </c>
    </row>
    <row r="410" spans="2:7">
      <c r="B410" t="s">
        <v>48</v>
      </c>
      <c r="C410" s="2">
        <v>46268</v>
      </c>
      <c r="D410" t="s">
        <v>51</v>
      </c>
      <c r="E410">
        <v>5</v>
      </c>
      <c r="G410" t="s">
        <v>26</v>
      </c>
    </row>
    <row r="411" spans="2:7">
      <c r="B411" t="s">
        <v>49</v>
      </c>
      <c r="C411" s="2">
        <v>46270</v>
      </c>
      <c r="D411" t="s">
        <v>52</v>
      </c>
      <c r="E411">
        <v>900</v>
      </c>
      <c r="G411" t="s">
        <v>42</v>
      </c>
    </row>
    <row r="412" spans="2:7">
      <c r="B412" t="s">
        <v>49</v>
      </c>
      <c r="C412" s="2">
        <v>46270</v>
      </c>
      <c r="D412" t="s">
        <v>53</v>
      </c>
      <c r="E412">
        <v>150</v>
      </c>
      <c r="G412" t="s">
        <v>40</v>
      </c>
    </row>
    <row r="413" spans="2:7">
      <c r="B413" t="s">
        <v>48</v>
      </c>
      <c r="C413" s="2">
        <v>46270</v>
      </c>
      <c r="D413" t="s">
        <v>51</v>
      </c>
      <c r="E413">
        <v>5</v>
      </c>
      <c r="G413" t="s">
        <v>26</v>
      </c>
    </row>
    <row r="414" spans="2:7">
      <c r="B414" t="s">
        <v>48</v>
      </c>
      <c r="C414" s="2">
        <v>46270</v>
      </c>
      <c r="D414" t="s">
        <v>51</v>
      </c>
      <c r="E414">
        <v>5</v>
      </c>
      <c r="G414" t="s">
        <v>26</v>
      </c>
    </row>
    <row r="415" spans="2:7">
      <c r="B415" t="s">
        <v>48</v>
      </c>
      <c r="C415" s="2">
        <v>46271</v>
      </c>
      <c r="D415" t="s">
        <v>51</v>
      </c>
      <c r="E415">
        <v>5</v>
      </c>
      <c r="G415" t="s">
        <v>26</v>
      </c>
    </row>
    <row r="416" spans="2:7">
      <c r="B416" t="s">
        <v>48</v>
      </c>
      <c r="C416" s="2">
        <v>46272</v>
      </c>
      <c r="D416" t="s">
        <v>51</v>
      </c>
      <c r="E416">
        <v>5</v>
      </c>
      <c r="G416" t="s">
        <v>26</v>
      </c>
    </row>
    <row r="417" spans="2:7">
      <c r="B417" t="s">
        <v>48</v>
      </c>
      <c r="C417" s="2">
        <v>46272</v>
      </c>
      <c r="D417" t="s">
        <v>54</v>
      </c>
      <c r="E417">
        <v>163.39999999999998</v>
      </c>
      <c r="G417" t="s">
        <v>36</v>
      </c>
    </row>
    <row r="418" spans="2:7">
      <c r="B418" t="s">
        <v>49</v>
      </c>
      <c r="C418" s="2">
        <v>46275</v>
      </c>
      <c r="D418" t="s">
        <v>55</v>
      </c>
      <c r="E418">
        <v>58.1</v>
      </c>
      <c r="G418" t="s">
        <v>34</v>
      </c>
    </row>
    <row r="419" spans="2:7">
      <c r="B419" t="s">
        <v>48</v>
      </c>
      <c r="C419" s="2">
        <v>46275</v>
      </c>
      <c r="D419" t="s">
        <v>51</v>
      </c>
      <c r="E419">
        <v>5</v>
      </c>
      <c r="G419" t="s">
        <v>26</v>
      </c>
    </row>
    <row r="420" spans="2:7">
      <c r="B420" t="s">
        <v>48</v>
      </c>
      <c r="C420" s="2">
        <v>46276</v>
      </c>
      <c r="D420" t="s">
        <v>51</v>
      </c>
      <c r="E420">
        <v>5</v>
      </c>
      <c r="G420" t="s">
        <v>26</v>
      </c>
    </row>
    <row r="421" spans="2:7">
      <c r="B421" t="s">
        <v>48</v>
      </c>
      <c r="C421" s="2">
        <v>46277</v>
      </c>
      <c r="D421" t="s">
        <v>56</v>
      </c>
      <c r="E421">
        <v>85.299999999999983</v>
      </c>
      <c r="G421" t="s">
        <v>39</v>
      </c>
    </row>
    <row r="422" spans="2:7">
      <c r="B422" t="s">
        <v>48</v>
      </c>
      <c r="C422" s="2">
        <v>46277</v>
      </c>
      <c r="D422" t="s">
        <v>51</v>
      </c>
      <c r="E422">
        <v>5</v>
      </c>
      <c r="G422" t="s">
        <v>26</v>
      </c>
    </row>
    <row r="423" spans="2:7">
      <c r="B423" t="s">
        <v>48</v>
      </c>
      <c r="C423" s="2">
        <v>46278</v>
      </c>
      <c r="D423" t="s">
        <v>51</v>
      </c>
      <c r="E423">
        <v>5</v>
      </c>
      <c r="G423" t="s">
        <v>26</v>
      </c>
    </row>
    <row r="424" spans="2:7">
      <c r="B424" t="s">
        <v>48</v>
      </c>
      <c r="C424" s="2">
        <v>46279</v>
      </c>
      <c r="D424" t="s">
        <v>54</v>
      </c>
      <c r="E424">
        <v>143</v>
      </c>
      <c r="G424" t="s">
        <v>36</v>
      </c>
    </row>
    <row r="425" spans="2:7">
      <c r="B425" t="s">
        <v>48</v>
      </c>
      <c r="C425" s="2">
        <v>46279</v>
      </c>
      <c r="D425" t="s">
        <v>51</v>
      </c>
      <c r="E425">
        <v>5</v>
      </c>
      <c r="G425" t="s">
        <v>26</v>
      </c>
    </row>
    <row r="426" spans="2:7">
      <c r="B426" t="s">
        <v>48</v>
      </c>
      <c r="C426" s="2">
        <v>46280</v>
      </c>
      <c r="D426" t="s">
        <v>51</v>
      </c>
      <c r="E426">
        <v>5</v>
      </c>
      <c r="G426" t="s">
        <v>26</v>
      </c>
    </row>
    <row r="427" spans="2:7">
      <c r="B427" t="s">
        <v>48</v>
      </c>
      <c r="C427" s="2">
        <v>46280</v>
      </c>
      <c r="D427" t="s">
        <v>57</v>
      </c>
      <c r="E427">
        <v>47.8</v>
      </c>
      <c r="G427" t="s">
        <v>32</v>
      </c>
    </row>
    <row r="428" spans="2:7">
      <c r="B428" t="s">
        <v>48</v>
      </c>
      <c r="C428" s="2">
        <v>46280</v>
      </c>
      <c r="D428" t="s">
        <v>58</v>
      </c>
      <c r="E428">
        <v>105.80000000000001</v>
      </c>
      <c r="G428" t="s">
        <v>24</v>
      </c>
    </row>
    <row r="429" spans="2:7">
      <c r="B429" t="s">
        <v>48</v>
      </c>
      <c r="C429" s="2">
        <v>46280</v>
      </c>
      <c r="D429" t="s">
        <v>59</v>
      </c>
      <c r="E429">
        <v>60.1</v>
      </c>
      <c r="G429" t="s">
        <v>43</v>
      </c>
    </row>
    <row r="430" spans="2:7">
      <c r="B430" t="s">
        <v>48</v>
      </c>
      <c r="C430" s="2">
        <v>46281</v>
      </c>
      <c r="D430" t="s">
        <v>60</v>
      </c>
      <c r="E430">
        <v>36.200000000000003</v>
      </c>
      <c r="G430" t="s">
        <v>45</v>
      </c>
    </row>
    <row r="431" spans="2:7">
      <c r="B431" t="s">
        <v>49</v>
      </c>
      <c r="C431" s="2">
        <v>46282</v>
      </c>
      <c r="D431" t="s">
        <v>61</v>
      </c>
      <c r="E431">
        <v>30</v>
      </c>
      <c r="G431" t="s">
        <v>37</v>
      </c>
    </row>
    <row r="432" spans="2:7">
      <c r="B432" t="s">
        <v>48</v>
      </c>
      <c r="C432" s="2">
        <v>46282</v>
      </c>
      <c r="D432" t="s">
        <v>51</v>
      </c>
      <c r="E432">
        <v>5</v>
      </c>
      <c r="G432" t="s">
        <v>26</v>
      </c>
    </row>
    <row r="433" spans="2:7">
      <c r="B433" t="s">
        <v>48</v>
      </c>
      <c r="C433" s="2">
        <v>46283</v>
      </c>
      <c r="D433" t="s">
        <v>51</v>
      </c>
      <c r="E433">
        <v>5</v>
      </c>
      <c r="G433" t="s">
        <v>26</v>
      </c>
    </row>
    <row r="434" spans="2:7">
      <c r="B434" t="s">
        <v>49</v>
      </c>
      <c r="C434" s="2">
        <v>46283</v>
      </c>
      <c r="D434" t="s">
        <v>63</v>
      </c>
      <c r="E434">
        <v>40</v>
      </c>
      <c r="G434" t="s">
        <v>41</v>
      </c>
    </row>
    <row r="435" spans="2:7">
      <c r="B435" t="s">
        <v>48</v>
      </c>
      <c r="C435" s="2">
        <v>46284</v>
      </c>
      <c r="D435" t="s">
        <v>64</v>
      </c>
      <c r="E435">
        <v>53</v>
      </c>
      <c r="G435" t="s">
        <v>35</v>
      </c>
    </row>
    <row r="436" spans="2:7">
      <c r="B436" t="s">
        <v>48</v>
      </c>
      <c r="C436" s="2">
        <v>46284</v>
      </c>
      <c r="D436" t="s">
        <v>65</v>
      </c>
      <c r="E436">
        <v>35</v>
      </c>
      <c r="G436" t="s">
        <v>32</v>
      </c>
    </row>
    <row r="437" spans="2:7">
      <c r="B437" t="s">
        <v>48</v>
      </c>
      <c r="C437" s="2">
        <v>46284</v>
      </c>
      <c r="D437" t="s">
        <v>51</v>
      </c>
      <c r="E437">
        <v>5</v>
      </c>
      <c r="G437" t="s">
        <v>26</v>
      </c>
    </row>
    <row r="438" spans="2:7">
      <c r="B438" t="s">
        <v>48</v>
      </c>
      <c r="C438" s="2">
        <v>46285</v>
      </c>
      <c r="D438" t="s">
        <v>51</v>
      </c>
      <c r="E438">
        <v>5</v>
      </c>
      <c r="G438" t="s">
        <v>26</v>
      </c>
    </row>
    <row r="439" spans="2:7">
      <c r="B439" t="s">
        <v>48</v>
      </c>
      <c r="C439" s="2">
        <v>46286</v>
      </c>
      <c r="D439" t="s">
        <v>51</v>
      </c>
      <c r="E439">
        <v>5</v>
      </c>
      <c r="G439" t="s">
        <v>26</v>
      </c>
    </row>
    <row r="440" spans="2:7">
      <c r="B440" t="s">
        <v>48</v>
      </c>
      <c r="C440" s="2">
        <v>46286</v>
      </c>
      <c r="D440" t="s">
        <v>54</v>
      </c>
      <c r="E440">
        <v>177.9</v>
      </c>
      <c r="G440" t="s">
        <v>36</v>
      </c>
    </row>
    <row r="441" spans="2:7">
      <c r="B441" t="s">
        <v>48</v>
      </c>
      <c r="C441" s="2">
        <v>46287</v>
      </c>
      <c r="D441" t="s">
        <v>66</v>
      </c>
      <c r="E441">
        <v>45.300000000000004</v>
      </c>
      <c r="G441" t="s">
        <v>43</v>
      </c>
    </row>
    <row r="442" spans="2:7">
      <c r="B442" t="s">
        <v>48</v>
      </c>
      <c r="C442" s="2">
        <v>46288</v>
      </c>
      <c r="D442" t="s">
        <v>67</v>
      </c>
      <c r="E442">
        <v>20.099999999999998</v>
      </c>
      <c r="G442" t="s">
        <v>43</v>
      </c>
    </row>
    <row r="443" spans="2:7">
      <c r="B443" t="s">
        <v>49</v>
      </c>
      <c r="C443" s="2">
        <v>46289</v>
      </c>
      <c r="D443" t="s">
        <v>68</v>
      </c>
      <c r="E443">
        <v>55</v>
      </c>
      <c r="G443" t="s">
        <v>31</v>
      </c>
    </row>
    <row r="444" spans="2:7">
      <c r="B444" t="s">
        <v>48</v>
      </c>
      <c r="C444" s="2">
        <v>46289</v>
      </c>
      <c r="D444" t="s">
        <v>56</v>
      </c>
      <c r="E444">
        <v>70.600000000000023</v>
      </c>
      <c r="G444" t="s">
        <v>39</v>
      </c>
    </row>
    <row r="445" spans="2:7">
      <c r="B445" t="s">
        <v>48</v>
      </c>
      <c r="C445" s="2">
        <v>46289</v>
      </c>
      <c r="D445" t="s">
        <v>51</v>
      </c>
      <c r="E445">
        <v>5</v>
      </c>
      <c r="G445" t="s">
        <v>26</v>
      </c>
    </row>
    <row r="446" spans="2:7">
      <c r="B446" t="s">
        <v>48</v>
      </c>
      <c r="C446" s="2">
        <v>46290</v>
      </c>
      <c r="D446" t="s">
        <v>51</v>
      </c>
      <c r="E446">
        <v>5</v>
      </c>
      <c r="G446" t="s">
        <v>26</v>
      </c>
    </row>
    <row r="447" spans="2:7">
      <c r="B447" t="s">
        <v>48</v>
      </c>
      <c r="C447" s="2">
        <v>46291</v>
      </c>
      <c r="D447" t="s">
        <v>51</v>
      </c>
      <c r="E447">
        <v>5</v>
      </c>
      <c r="G447" t="s">
        <v>26</v>
      </c>
    </row>
    <row r="448" spans="2:7">
      <c r="B448" t="s">
        <v>48</v>
      </c>
      <c r="C448" s="2">
        <v>46292</v>
      </c>
      <c r="D448" t="s">
        <v>51</v>
      </c>
      <c r="E448">
        <v>5</v>
      </c>
      <c r="G448" t="s">
        <v>26</v>
      </c>
    </row>
    <row r="449" spans="2:7">
      <c r="B449" t="s">
        <v>48</v>
      </c>
      <c r="C449" s="2">
        <v>46293</v>
      </c>
      <c r="D449" t="s">
        <v>51</v>
      </c>
      <c r="E449">
        <v>5</v>
      </c>
      <c r="G449" t="s">
        <v>26</v>
      </c>
    </row>
    <row r="450" spans="2:7">
      <c r="B450" t="s">
        <v>48</v>
      </c>
      <c r="C450" s="2">
        <v>46293</v>
      </c>
      <c r="D450" t="s">
        <v>54</v>
      </c>
      <c r="E450">
        <v>223</v>
      </c>
      <c r="G450" t="s">
        <v>36</v>
      </c>
    </row>
    <row r="451" spans="2:7">
      <c r="B451" t="s">
        <v>48</v>
      </c>
      <c r="C451" s="2">
        <v>46294</v>
      </c>
      <c r="D451" t="s">
        <v>69</v>
      </c>
      <c r="E451">
        <v>132.9</v>
      </c>
      <c r="G451" t="s">
        <v>24</v>
      </c>
    </row>
    <row r="452" spans="2:7">
      <c r="B452" t="s">
        <v>48</v>
      </c>
      <c r="C452" s="2">
        <v>46294</v>
      </c>
      <c r="D452" t="s">
        <v>71</v>
      </c>
      <c r="E452">
        <v>175</v>
      </c>
      <c r="G452" t="s">
        <v>24</v>
      </c>
    </row>
    <row r="453" spans="2:7">
      <c r="B453" t="s">
        <v>48</v>
      </c>
      <c r="C453" s="2">
        <v>46295</v>
      </c>
      <c r="D453" t="s">
        <v>58</v>
      </c>
      <c r="E453">
        <v>153.39999999999998</v>
      </c>
      <c r="G453" t="s">
        <v>24</v>
      </c>
    </row>
    <row r="454" spans="2:7">
      <c r="B454" t="s">
        <v>48</v>
      </c>
      <c r="C454" s="2">
        <v>46295</v>
      </c>
      <c r="D454" t="s">
        <v>60</v>
      </c>
      <c r="E454">
        <v>31.200000000000003</v>
      </c>
      <c r="G454" t="s">
        <v>45</v>
      </c>
    </row>
    <row r="455" spans="2:7">
      <c r="B455" t="s">
        <v>48</v>
      </c>
      <c r="C455" s="2">
        <v>46295</v>
      </c>
      <c r="D455" t="s">
        <v>74</v>
      </c>
      <c r="E455">
        <v>15</v>
      </c>
      <c r="G455" t="s">
        <v>43</v>
      </c>
    </row>
    <row r="456" spans="2:7">
      <c r="B456" t="s">
        <v>49</v>
      </c>
      <c r="C456" s="2">
        <v>46295</v>
      </c>
      <c r="D456" t="s">
        <v>93</v>
      </c>
      <c r="F456">
        <v>1600</v>
      </c>
      <c r="G456" t="s">
        <v>28</v>
      </c>
    </row>
    <row r="457" spans="2:7">
      <c r="B457" t="s">
        <v>48</v>
      </c>
      <c r="C457" s="2">
        <v>46296</v>
      </c>
      <c r="D457" t="s">
        <v>51</v>
      </c>
      <c r="E457">
        <v>5</v>
      </c>
      <c r="G457" t="s">
        <v>26</v>
      </c>
    </row>
    <row r="458" spans="2:7">
      <c r="B458" t="s">
        <v>48</v>
      </c>
      <c r="C458" s="2">
        <v>46298</v>
      </c>
      <c r="D458" t="s">
        <v>51</v>
      </c>
      <c r="E458">
        <v>5</v>
      </c>
      <c r="G458" t="s">
        <v>26</v>
      </c>
    </row>
    <row r="459" spans="2:7">
      <c r="B459" t="s">
        <v>49</v>
      </c>
      <c r="C459" s="2">
        <v>46298</v>
      </c>
      <c r="D459" t="s">
        <v>50</v>
      </c>
      <c r="F459">
        <v>4000</v>
      </c>
      <c r="G459" t="s">
        <v>44</v>
      </c>
    </row>
    <row r="460" spans="2:7">
      <c r="B460" t="s">
        <v>92</v>
      </c>
      <c r="C460" s="2">
        <v>46298</v>
      </c>
      <c r="D460" t="s">
        <v>38</v>
      </c>
      <c r="F460">
        <v>44</v>
      </c>
      <c r="G460" t="s">
        <v>38</v>
      </c>
    </row>
    <row r="461" spans="2:7">
      <c r="B461" t="s">
        <v>48</v>
      </c>
      <c r="C461" s="2">
        <v>46299</v>
      </c>
      <c r="D461" t="s">
        <v>51</v>
      </c>
      <c r="E461">
        <v>5</v>
      </c>
      <c r="G461" t="s">
        <v>26</v>
      </c>
    </row>
    <row r="462" spans="2:7">
      <c r="B462" t="s">
        <v>49</v>
      </c>
      <c r="C462" s="2">
        <v>46301</v>
      </c>
      <c r="D462" t="s">
        <v>52</v>
      </c>
      <c r="E462">
        <v>900</v>
      </c>
      <c r="G462" t="s">
        <v>42</v>
      </c>
    </row>
    <row r="463" spans="2:7">
      <c r="B463" t="s">
        <v>49</v>
      </c>
      <c r="C463" s="2">
        <v>46301</v>
      </c>
      <c r="D463" t="s">
        <v>53</v>
      </c>
      <c r="E463">
        <v>150</v>
      </c>
      <c r="G463" t="s">
        <v>40</v>
      </c>
    </row>
    <row r="464" spans="2:7">
      <c r="B464" t="s">
        <v>48</v>
      </c>
      <c r="C464" s="2">
        <v>46301</v>
      </c>
      <c r="D464" t="s">
        <v>51</v>
      </c>
      <c r="E464">
        <v>5</v>
      </c>
      <c r="G464" t="s">
        <v>26</v>
      </c>
    </row>
    <row r="465" spans="2:7">
      <c r="B465" t="s">
        <v>48</v>
      </c>
      <c r="C465" s="2">
        <v>46301</v>
      </c>
      <c r="D465" t="s">
        <v>51</v>
      </c>
      <c r="E465">
        <v>5</v>
      </c>
      <c r="G465" t="s">
        <v>26</v>
      </c>
    </row>
    <row r="466" spans="2:7">
      <c r="B466" t="s">
        <v>48</v>
      </c>
      <c r="C466" s="2">
        <v>46302</v>
      </c>
      <c r="D466" t="s">
        <v>51</v>
      </c>
      <c r="E466">
        <v>5</v>
      </c>
      <c r="G466" t="s">
        <v>26</v>
      </c>
    </row>
    <row r="467" spans="2:7">
      <c r="B467" t="s">
        <v>48</v>
      </c>
      <c r="C467" s="2">
        <v>46303</v>
      </c>
      <c r="D467" t="s">
        <v>51</v>
      </c>
      <c r="E467">
        <v>5</v>
      </c>
      <c r="G467" t="s">
        <v>26</v>
      </c>
    </row>
    <row r="468" spans="2:7">
      <c r="B468" t="s">
        <v>48</v>
      </c>
      <c r="C468" s="2">
        <v>46303</v>
      </c>
      <c r="D468" t="s">
        <v>54</v>
      </c>
      <c r="E468">
        <v>105</v>
      </c>
      <c r="G468" t="s">
        <v>36</v>
      </c>
    </row>
    <row r="469" spans="2:7">
      <c r="B469" t="s">
        <v>49</v>
      </c>
      <c r="C469" s="2">
        <v>46306</v>
      </c>
      <c r="D469" t="s">
        <v>55</v>
      </c>
      <c r="E469">
        <v>59</v>
      </c>
      <c r="G469" t="s">
        <v>34</v>
      </c>
    </row>
    <row r="470" spans="2:7">
      <c r="B470" t="s">
        <v>48</v>
      </c>
      <c r="C470" s="2">
        <v>46306</v>
      </c>
      <c r="D470" t="s">
        <v>51</v>
      </c>
      <c r="E470">
        <v>5</v>
      </c>
      <c r="G470" t="s">
        <v>26</v>
      </c>
    </row>
    <row r="471" spans="2:7">
      <c r="B471" t="s">
        <v>48</v>
      </c>
      <c r="C471" s="2">
        <v>46307</v>
      </c>
      <c r="D471" t="s">
        <v>51</v>
      </c>
      <c r="E471">
        <v>5</v>
      </c>
      <c r="G471" t="s">
        <v>26</v>
      </c>
    </row>
    <row r="472" spans="2:7">
      <c r="B472" t="s">
        <v>48</v>
      </c>
      <c r="C472" s="2">
        <v>46308</v>
      </c>
      <c r="D472" t="s">
        <v>56</v>
      </c>
      <c r="E472">
        <v>86.399999999999977</v>
      </c>
      <c r="G472" t="s">
        <v>39</v>
      </c>
    </row>
    <row r="473" spans="2:7">
      <c r="B473" t="s">
        <v>48</v>
      </c>
      <c r="C473" s="2">
        <v>46308</v>
      </c>
      <c r="D473" t="s">
        <v>51</v>
      </c>
      <c r="E473">
        <v>5</v>
      </c>
      <c r="G473" t="s">
        <v>26</v>
      </c>
    </row>
    <row r="474" spans="2:7">
      <c r="B474" t="s">
        <v>48</v>
      </c>
      <c r="C474" s="2">
        <v>46309</v>
      </c>
      <c r="D474" t="s">
        <v>51</v>
      </c>
      <c r="E474">
        <v>5</v>
      </c>
      <c r="G474" t="s">
        <v>26</v>
      </c>
    </row>
    <row r="475" spans="2:7">
      <c r="B475" t="s">
        <v>48</v>
      </c>
      <c r="C475" s="2">
        <v>46310</v>
      </c>
      <c r="D475" t="s">
        <v>54</v>
      </c>
      <c r="E475">
        <v>143.9</v>
      </c>
      <c r="G475" t="s">
        <v>36</v>
      </c>
    </row>
    <row r="476" spans="2:7">
      <c r="B476" t="s">
        <v>48</v>
      </c>
      <c r="C476" s="2">
        <v>46310</v>
      </c>
      <c r="D476" t="s">
        <v>51</v>
      </c>
      <c r="E476">
        <v>5</v>
      </c>
      <c r="G476" t="s">
        <v>26</v>
      </c>
    </row>
    <row r="477" spans="2:7">
      <c r="B477" t="s">
        <v>48</v>
      </c>
      <c r="C477" s="2">
        <v>46311</v>
      </c>
      <c r="D477" t="s">
        <v>51</v>
      </c>
      <c r="E477">
        <v>5</v>
      </c>
      <c r="G477" t="s">
        <v>26</v>
      </c>
    </row>
    <row r="478" spans="2:7">
      <c r="B478" t="s">
        <v>48</v>
      </c>
      <c r="C478" s="2">
        <v>46311</v>
      </c>
      <c r="D478" t="s">
        <v>57</v>
      </c>
      <c r="E478">
        <v>48.8</v>
      </c>
      <c r="G478" t="s">
        <v>32</v>
      </c>
    </row>
    <row r="479" spans="2:7">
      <c r="B479" t="s">
        <v>48</v>
      </c>
      <c r="C479" s="2">
        <v>46311</v>
      </c>
      <c r="D479" t="s">
        <v>58</v>
      </c>
      <c r="E479">
        <v>106.70000000000002</v>
      </c>
      <c r="G479" t="s">
        <v>24</v>
      </c>
    </row>
    <row r="480" spans="2:7">
      <c r="B480" t="s">
        <v>48</v>
      </c>
      <c r="C480" s="2">
        <v>46311</v>
      </c>
      <c r="D480" t="s">
        <v>59</v>
      </c>
      <c r="E480">
        <v>61.1</v>
      </c>
      <c r="G480" t="s">
        <v>43</v>
      </c>
    </row>
    <row r="481" spans="2:7">
      <c r="B481" t="s">
        <v>48</v>
      </c>
      <c r="C481" s="2">
        <v>46312</v>
      </c>
      <c r="D481" t="s">
        <v>60</v>
      </c>
      <c r="E481">
        <v>37.200000000000003</v>
      </c>
      <c r="G481" t="s">
        <v>45</v>
      </c>
    </row>
    <row r="482" spans="2:7">
      <c r="B482" t="s">
        <v>49</v>
      </c>
      <c r="C482" s="2">
        <v>46313</v>
      </c>
      <c r="D482" t="s">
        <v>61</v>
      </c>
      <c r="E482">
        <v>30</v>
      </c>
      <c r="G482" t="s">
        <v>37</v>
      </c>
    </row>
    <row r="483" spans="2:7">
      <c r="B483" t="s">
        <v>48</v>
      </c>
      <c r="C483" s="2">
        <v>46313</v>
      </c>
      <c r="D483" t="s">
        <v>51</v>
      </c>
      <c r="E483">
        <v>5</v>
      </c>
      <c r="G483" t="s">
        <v>26</v>
      </c>
    </row>
    <row r="484" spans="2:7">
      <c r="B484" t="s">
        <v>48</v>
      </c>
      <c r="C484" s="2">
        <v>46314</v>
      </c>
      <c r="D484" t="s">
        <v>51</v>
      </c>
      <c r="E484">
        <v>5</v>
      </c>
      <c r="G484" t="s">
        <v>26</v>
      </c>
    </row>
    <row r="485" spans="2:7">
      <c r="B485" t="s">
        <v>49</v>
      </c>
      <c r="C485" s="2">
        <v>46314</v>
      </c>
      <c r="D485" t="s">
        <v>72</v>
      </c>
      <c r="E485">
        <v>75</v>
      </c>
      <c r="G485" t="s">
        <v>30</v>
      </c>
    </row>
    <row r="486" spans="2:7">
      <c r="B486" t="s">
        <v>49</v>
      </c>
      <c r="C486" s="2">
        <v>46314</v>
      </c>
      <c r="D486" t="s">
        <v>63</v>
      </c>
      <c r="E486">
        <v>40</v>
      </c>
      <c r="G486" t="s">
        <v>41</v>
      </c>
    </row>
    <row r="487" spans="2:7">
      <c r="B487" t="s">
        <v>48</v>
      </c>
      <c r="C487" s="2">
        <v>46315</v>
      </c>
      <c r="D487" t="s">
        <v>64</v>
      </c>
      <c r="E487">
        <v>54.1</v>
      </c>
      <c r="G487" t="s">
        <v>35</v>
      </c>
    </row>
    <row r="488" spans="2:7">
      <c r="B488" t="s">
        <v>48</v>
      </c>
      <c r="C488" s="2">
        <v>46315</v>
      </c>
      <c r="D488" t="s">
        <v>65</v>
      </c>
      <c r="E488">
        <v>35</v>
      </c>
      <c r="G488" t="s">
        <v>32</v>
      </c>
    </row>
    <row r="489" spans="2:7">
      <c r="B489" t="s">
        <v>48</v>
      </c>
      <c r="C489" s="2">
        <v>46315</v>
      </c>
      <c r="D489" t="s">
        <v>51</v>
      </c>
      <c r="E489">
        <v>5</v>
      </c>
      <c r="G489" t="s">
        <v>26</v>
      </c>
    </row>
    <row r="490" spans="2:7">
      <c r="B490" t="s">
        <v>48</v>
      </c>
      <c r="C490" s="2">
        <v>46316</v>
      </c>
      <c r="D490" t="s">
        <v>51</v>
      </c>
      <c r="E490">
        <v>5</v>
      </c>
      <c r="G490" t="s">
        <v>26</v>
      </c>
    </row>
    <row r="491" spans="2:7">
      <c r="B491" t="s">
        <v>48</v>
      </c>
      <c r="C491" s="2">
        <v>46317</v>
      </c>
      <c r="D491" t="s">
        <v>51</v>
      </c>
      <c r="E491">
        <v>5</v>
      </c>
      <c r="G491" t="s">
        <v>26</v>
      </c>
    </row>
    <row r="492" spans="2:7">
      <c r="B492" t="s">
        <v>48</v>
      </c>
      <c r="C492" s="2">
        <v>46317</v>
      </c>
      <c r="D492" t="s">
        <v>54</v>
      </c>
      <c r="E492">
        <v>178.9</v>
      </c>
      <c r="G492" t="s">
        <v>36</v>
      </c>
    </row>
    <row r="493" spans="2:7">
      <c r="B493" t="s">
        <v>48</v>
      </c>
      <c r="C493" s="2">
        <v>46318</v>
      </c>
      <c r="D493" t="s">
        <v>66</v>
      </c>
      <c r="E493">
        <v>46.2</v>
      </c>
      <c r="G493" t="s">
        <v>43</v>
      </c>
    </row>
    <row r="494" spans="2:7">
      <c r="B494" t="s">
        <v>48</v>
      </c>
      <c r="C494" s="2">
        <v>46319</v>
      </c>
      <c r="D494" t="s">
        <v>67</v>
      </c>
      <c r="E494">
        <v>21.099999999999998</v>
      </c>
      <c r="G494" t="s">
        <v>43</v>
      </c>
    </row>
    <row r="495" spans="2:7">
      <c r="B495" t="s">
        <v>49</v>
      </c>
      <c r="C495" s="2">
        <v>46320</v>
      </c>
      <c r="D495" t="s">
        <v>68</v>
      </c>
      <c r="E495">
        <v>55</v>
      </c>
      <c r="G495" t="s">
        <v>31</v>
      </c>
    </row>
    <row r="496" spans="2:7">
      <c r="B496" t="s">
        <v>48</v>
      </c>
      <c r="C496" s="2">
        <v>46320</v>
      </c>
      <c r="D496" t="s">
        <v>56</v>
      </c>
      <c r="E496">
        <v>71.500000000000028</v>
      </c>
      <c r="G496" t="s">
        <v>39</v>
      </c>
    </row>
    <row r="497" spans="2:7">
      <c r="B497" t="s">
        <v>48</v>
      </c>
      <c r="C497" s="2">
        <v>46320</v>
      </c>
      <c r="D497" t="s">
        <v>51</v>
      </c>
      <c r="E497">
        <v>5</v>
      </c>
      <c r="G497" t="s">
        <v>26</v>
      </c>
    </row>
    <row r="498" spans="2:7">
      <c r="B498" t="s">
        <v>48</v>
      </c>
      <c r="C498" s="2">
        <v>46321</v>
      </c>
      <c r="D498" t="s">
        <v>51</v>
      </c>
      <c r="E498">
        <v>5</v>
      </c>
      <c r="G498" t="s">
        <v>26</v>
      </c>
    </row>
    <row r="499" spans="2:7">
      <c r="B499" t="s">
        <v>48</v>
      </c>
      <c r="C499" s="2">
        <v>46322</v>
      </c>
      <c r="D499" t="s">
        <v>51</v>
      </c>
      <c r="E499">
        <v>5</v>
      </c>
      <c r="G499" t="s">
        <v>26</v>
      </c>
    </row>
    <row r="500" spans="2:7">
      <c r="B500" t="s">
        <v>48</v>
      </c>
      <c r="C500" s="2">
        <v>46323</v>
      </c>
      <c r="D500" t="s">
        <v>51</v>
      </c>
      <c r="E500">
        <v>5</v>
      </c>
      <c r="G500" t="s">
        <v>26</v>
      </c>
    </row>
    <row r="501" spans="2:7">
      <c r="B501" t="s">
        <v>48</v>
      </c>
      <c r="C501" s="2">
        <v>46324</v>
      </c>
      <c r="D501" t="s">
        <v>51</v>
      </c>
      <c r="E501">
        <v>5</v>
      </c>
      <c r="G501" t="s">
        <v>26</v>
      </c>
    </row>
    <row r="502" spans="2:7">
      <c r="B502" t="s">
        <v>48</v>
      </c>
      <c r="C502" s="2">
        <v>46324</v>
      </c>
      <c r="D502" t="s">
        <v>54</v>
      </c>
      <c r="E502">
        <v>189</v>
      </c>
      <c r="G502" t="s">
        <v>36</v>
      </c>
    </row>
    <row r="503" spans="2:7">
      <c r="B503" t="s">
        <v>48</v>
      </c>
      <c r="C503" s="2">
        <v>46325</v>
      </c>
      <c r="D503" t="s">
        <v>69</v>
      </c>
      <c r="E503">
        <v>133.80000000000001</v>
      </c>
      <c r="G503" t="s">
        <v>24</v>
      </c>
    </row>
    <row r="504" spans="2:7">
      <c r="B504" t="s">
        <v>48</v>
      </c>
      <c r="C504" s="2">
        <v>46325</v>
      </c>
      <c r="D504" t="s">
        <v>70</v>
      </c>
      <c r="E504">
        <v>184.39999999999998</v>
      </c>
      <c r="G504" t="s">
        <v>32</v>
      </c>
    </row>
    <row r="505" spans="2:7">
      <c r="B505" t="s">
        <v>48</v>
      </c>
      <c r="C505" s="2">
        <v>46326</v>
      </c>
      <c r="D505" t="s">
        <v>58</v>
      </c>
      <c r="E505">
        <v>154.49999999999997</v>
      </c>
      <c r="G505" t="s">
        <v>24</v>
      </c>
    </row>
    <row r="506" spans="2:7">
      <c r="B506" t="s">
        <v>48</v>
      </c>
      <c r="C506" s="2">
        <v>46326</v>
      </c>
      <c r="D506" t="s">
        <v>60</v>
      </c>
      <c r="E506">
        <v>32.1</v>
      </c>
      <c r="G506" t="s">
        <v>45</v>
      </c>
    </row>
    <row r="507" spans="2:7">
      <c r="B507" t="s">
        <v>48</v>
      </c>
      <c r="C507" s="2">
        <v>46326</v>
      </c>
      <c r="D507" t="s">
        <v>74</v>
      </c>
      <c r="E507">
        <v>15</v>
      </c>
      <c r="G507" t="s">
        <v>43</v>
      </c>
    </row>
  </sheetData>
  <dataValidations count="4">
    <dataValidation type="list" allowBlank="1" showInputMessage="1" showErrorMessage="1" sqref="G10:G507" xr:uid="{377F4140-F859-45ED-8F5C-84C9A47BB74A}">
      <formula1>subcategories</formula1>
    </dataValidation>
    <dataValidation allowBlank="1" showInputMessage="1" showErrorMessage="1" promptTitle="Step 3: Enter Bank Transactions" prompt="Tracking actual spend will help you identify when you're deviating from budget enabling you to take timely action to bring spending back in line. Enter your bank transactions monthly and classify each with a sub-category." sqref="A1" xr:uid="{94F2797A-DA12-4BCD-9327-2902EF76AB90}"/>
    <dataValidation allowBlank="1" showInputMessage="1" showErrorMessage="1" prompt="A Debit is money you spend. i.e. the bank debits your account." sqref="E9" xr:uid="{909B09C6-2B29-4F3D-BE56-CCC6FF23D7EB}"/>
    <dataValidation allowBlank="1" showInputMessage="1" showErrorMessage="1" prompt="A Credit is money you receive. i.e. the bank credits your account when you receive your salary." sqref="F9" xr:uid="{6B2337DC-56CE-428B-91DE-043E70D0FFEC}"/>
  </dataValidations>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94D1D-7FAF-4A18-8332-7E010206D780}">
  <sheetPr>
    <tabColor theme="9" tint="0.79998168889431442"/>
  </sheetPr>
  <dimension ref="B1:N42"/>
  <sheetViews>
    <sheetView showGridLines="0" zoomScaleNormal="100" workbookViewId="0">
      <pane ySplit="1" topLeftCell="A2" activePane="bottomLeft" state="frozen"/>
      <selection pane="bottomLeft"/>
    </sheetView>
  </sheetViews>
  <sheetFormatPr defaultRowHeight="15"/>
  <cols>
    <col min="1" max="1" width="10.28515625" customWidth="1"/>
    <col min="2" max="2" width="13.42578125" bestFit="1" customWidth="1"/>
    <col min="3" max="3" width="13.28515625" customWidth="1"/>
    <col min="4" max="4" width="14.7109375" customWidth="1"/>
    <col min="5" max="5" width="11" customWidth="1"/>
    <col min="6" max="6" width="15.42578125" customWidth="1"/>
    <col min="7" max="7" width="11" customWidth="1"/>
    <col min="8" max="8" width="15.42578125" customWidth="1"/>
    <col min="9" max="9" width="15.5703125" bestFit="1" customWidth="1"/>
    <col min="10" max="10" width="18.85546875" customWidth="1"/>
    <col min="11" max="11" width="23.7109375" bestFit="1" customWidth="1"/>
    <col min="12" max="13" width="9.5703125" customWidth="1"/>
    <col min="14" max="14" width="11.28515625" bestFit="1" customWidth="1"/>
    <col min="15" max="15" width="2.5703125" customWidth="1"/>
    <col min="16" max="16" width="16.85546875" bestFit="1" customWidth="1"/>
    <col min="17" max="17" width="12.140625" bestFit="1" customWidth="1"/>
    <col min="18" max="18" width="12" bestFit="1" customWidth="1"/>
    <col min="19" max="19" width="15.5703125" bestFit="1" customWidth="1"/>
    <col min="20" max="22" width="7.42578125" bestFit="1" customWidth="1"/>
    <col min="23" max="23" width="4" bestFit="1" customWidth="1"/>
    <col min="24" max="24" width="4.140625" bestFit="1" customWidth="1"/>
    <col min="25" max="25" width="11.42578125" bestFit="1" customWidth="1"/>
    <col min="26" max="26" width="17" bestFit="1" customWidth="1"/>
  </cols>
  <sheetData>
    <row r="1" spans="2:14" s="21" customFormat="1" ht="78.75" customHeight="1" thickBot="1">
      <c r="B1" s="34" t="s">
        <v>103</v>
      </c>
      <c r="C1" s="20"/>
    </row>
    <row r="2" spans="2:14" ht="15.75" thickTop="1"/>
    <row r="16" spans="2:14">
      <c r="K16" s="3" t="s">
        <v>107</v>
      </c>
      <c r="L16" s="7" t="s">
        <v>84</v>
      </c>
      <c r="M16" s="7" t="s">
        <v>83</v>
      </c>
      <c r="N16" s="7" t="s">
        <v>94</v>
      </c>
    </row>
    <row r="17" spans="11:14">
      <c r="K17" s="4" t="s">
        <v>29</v>
      </c>
      <c r="L17" s="48"/>
      <c r="M17" s="48"/>
      <c r="N17" s="48"/>
    </row>
    <row r="18" spans="11:14">
      <c r="K18" s="5" t="s">
        <v>102</v>
      </c>
      <c r="L18" s="48">
        <v>40000</v>
      </c>
      <c r="M18" s="48">
        <v>53400</v>
      </c>
      <c r="N18" s="48">
        <v>-13400</v>
      </c>
    </row>
    <row r="19" spans="11:14">
      <c r="K19" s="5" t="s">
        <v>98</v>
      </c>
      <c r="L19" s="48">
        <v>3345</v>
      </c>
      <c r="M19" s="48">
        <v>0</v>
      </c>
      <c r="N19" s="48">
        <v>3345</v>
      </c>
    </row>
    <row r="20" spans="11:14">
      <c r="K20" s="5" t="s">
        <v>121</v>
      </c>
      <c r="L20" s="48"/>
      <c r="M20" s="48">
        <v>0</v>
      </c>
      <c r="N20" s="48">
        <v>0</v>
      </c>
    </row>
    <row r="21" spans="11:14">
      <c r="K21" s="4" t="s">
        <v>104</v>
      </c>
      <c r="L21" s="48">
        <v>43345</v>
      </c>
      <c r="M21" s="48">
        <v>53400</v>
      </c>
      <c r="N21" s="48">
        <v>-10055</v>
      </c>
    </row>
    <row r="22" spans="11:14">
      <c r="K22" s="4"/>
      <c r="L22" s="48"/>
      <c r="M22" s="48"/>
      <c r="N22" s="48"/>
    </row>
    <row r="23" spans="11:14">
      <c r="K23" s="4" t="s">
        <v>25</v>
      </c>
      <c r="L23" s="48"/>
      <c r="M23" s="48"/>
      <c r="N23" s="48"/>
    </row>
    <row r="24" spans="11:14">
      <c r="K24" s="5" t="s">
        <v>96</v>
      </c>
      <c r="L24" s="48">
        <v>-1115</v>
      </c>
      <c r="M24" s="48">
        <v>-3720</v>
      </c>
      <c r="N24" s="48">
        <v>2605</v>
      </c>
    </row>
    <row r="25" spans="11:14">
      <c r="K25" s="5" t="s">
        <v>100</v>
      </c>
      <c r="L25" s="48">
        <v>-6854.0999999999995</v>
      </c>
      <c r="M25" s="48">
        <v>-20160</v>
      </c>
      <c r="N25" s="48">
        <v>13305.900000000001</v>
      </c>
    </row>
    <row r="26" spans="11:14">
      <c r="K26" s="5" t="s">
        <v>102</v>
      </c>
      <c r="L26" s="48"/>
      <c r="M26" s="48">
        <v>-12120</v>
      </c>
      <c r="N26" s="48">
        <v>12120</v>
      </c>
    </row>
    <row r="27" spans="11:14">
      <c r="K27" s="5" t="s">
        <v>95</v>
      </c>
      <c r="L27" s="48">
        <v>-7327.6000000000013</v>
      </c>
      <c r="M27" s="48">
        <v>-2940</v>
      </c>
      <c r="N27" s="48">
        <v>-4387.6000000000013</v>
      </c>
    </row>
    <row r="28" spans="11:14">
      <c r="K28" s="5" t="s">
        <v>98</v>
      </c>
      <c r="L28" s="48"/>
      <c r="M28" s="48">
        <v>-360</v>
      </c>
      <c r="N28" s="48">
        <v>360</v>
      </c>
    </row>
    <row r="29" spans="11:14">
      <c r="K29" s="5" t="s">
        <v>101</v>
      </c>
      <c r="L29" s="48">
        <v>-1489.5</v>
      </c>
      <c r="M29" s="48">
        <v>-4200</v>
      </c>
      <c r="N29" s="48">
        <v>2710.5</v>
      </c>
    </row>
    <row r="30" spans="11:14">
      <c r="K30" s="5" t="s">
        <v>97</v>
      </c>
      <c r="L30" s="48">
        <v>-379</v>
      </c>
      <c r="M30" s="48">
        <v>-1200</v>
      </c>
      <c r="N30" s="48">
        <v>821</v>
      </c>
    </row>
    <row r="31" spans="11:14">
      <c r="K31" s="5" t="s">
        <v>99</v>
      </c>
      <c r="L31" s="48">
        <v>-550</v>
      </c>
      <c r="M31" s="48">
        <v>-9060</v>
      </c>
      <c r="N31" s="48">
        <v>8510</v>
      </c>
    </row>
    <row r="32" spans="11:14">
      <c r="K32" s="5" t="s">
        <v>121</v>
      </c>
      <c r="L32" s="48"/>
      <c r="M32" s="48">
        <v>-7860</v>
      </c>
      <c r="N32" s="48">
        <v>7860</v>
      </c>
    </row>
    <row r="33" spans="11:14">
      <c r="K33" s="5" t="s">
        <v>135</v>
      </c>
      <c r="L33" s="48"/>
      <c r="M33" s="48">
        <v>-2400</v>
      </c>
      <c r="N33" s="48">
        <v>2400</v>
      </c>
    </row>
    <row r="34" spans="11:14">
      <c r="K34" s="5" t="s">
        <v>150</v>
      </c>
      <c r="L34" s="48"/>
      <c r="M34" s="48">
        <v>-2300</v>
      </c>
      <c r="N34" s="48">
        <v>2300</v>
      </c>
    </row>
    <row r="35" spans="11:14">
      <c r="K35" s="4" t="s">
        <v>105</v>
      </c>
      <c r="L35" s="48">
        <v>-17715.2</v>
      </c>
      <c r="M35" s="48">
        <v>-66320</v>
      </c>
      <c r="N35" s="48">
        <v>48604.800000000017</v>
      </c>
    </row>
    <row r="36" spans="11:14">
      <c r="K36" s="4"/>
      <c r="L36" s="48"/>
      <c r="M36" s="48"/>
      <c r="N36" s="48"/>
    </row>
    <row r="37" spans="11:14">
      <c r="K37" s="4" t="s">
        <v>106</v>
      </c>
      <c r="L37" s="48">
        <v>25629.8</v>
      </c>
      <c r="M37" s="48">
        <v>-12920</v>
      </c>
      <c r="N37" s="48">
        <v>38549.800000000003</v>
      </c>
    </row>
    <row r="38" spans="11:14">
      <c r="K38" s="4"/>
      <c r="L38" s="48"/>
      <c r="M38" s="48"/>
      <c r="N38" s="48"/>
    </row>
    <row r="39" spans="11:14">
      <c r="K39" s="4" t="s">
        <v>162</v>
      </c>
      <c r="L39" s="48"/>
      <c r="M39" s="48"/>
      <c r="N39" s="48"/>
    </row>
    <row r="40" spans="11:14">
      <c r="K40" s="5" t="s">
        <v>162</v>
      </c>
      <c r="L40" s="48">
        <v>-12779.800000000008</v>
      </c>
      <c r="M40" s="48"/>
      <c r="N40" s="48">
        <v>-12779.800000000008</v>
      </c>
    </row>
    <row r="41" spans="11:14">
      <c r="K41" s="4" t="s">
        <v>163</v>
      </c>
      <c r="L41" s="48">
        <v>-12779.800000000008</v>
      </c>
      <c r="M41" s="48"/>
      <c r="N41" s="48">
        <v>-12779.800000000008</v>
      </c>
    </row>
    <row r="42" spans="11:14">
      <c r="K42" s="4"/>
      <c r="L42" s="48"/>
      <c r="M42" s="48"/>
      <c r="N42" s="48"/>
    </row>
  </sheetData>
  <dataValidations count="1">
    <dataValidation allowBlank="1" showInputMessage="1" showErrorMessage="1" promptTitle="Step 4: Review Report" prompt="Click Refresh All on the Data tab to update report. Use the Date Timeline Slicer to filter the report for the periods you want to review. For detailed transactions, refer to the Transactions table. Deselect this cell to close this message." sqref="A1" xr:uid="{5D167771-82BC-484A-BE8F-BFAC61B1CF5E}"/>
  </dataValidations>
  <pageMargins left="0.7" right="0.7" top="0.75" bottom="0.75" header="0.3" footer="0.3"/>
  <pageSetup paperSize="9" orientation="portrait" r:id="rId2"/>
  <drawing r:id="rId3"/>
  <extLst>
    <ext xmlns:x14="http://schemas.microsoft.com/office/spreadsheetml/2009/9/main" uri="{78C0D931-6437-407d-A8EE-F0AAD7539E65}">
      <x14:conditionalFormattings>
        <x14:conditionalFormatting xmlns:xm="http://schemas.microsoft.com/office/excel/2006/main" pivot="1">
          <x14:cfRule type="iconSet" priority="2" id="{FF03DD85-5A66-4F3C-B5A8-ECD220A11769}">
            <x14:iconSet iconSet="3Symbols2" custom="1">
              <x14:cfvo type="percent">
                <xm:f>0</xm:f>
              </x14:cfvo>
              <x14:cfvo type="num">
                <xm:f>0</xm:f>
              </x14:cfvo>
              <x14:cfvo type="num">
                <xm:f>0</xm:f>
              </x14:cfvo>
              <x14:cfIcon iconSet="3Symbols2" iconId="0"/>
              <x14:cfIcon iconSet="NoIcons" iconId="0"/>
              <x14:cfIcon iconSet="3Symbols2" iconId="2"/>
            </x14:iconSet>
          </x14:cfRule>
          <xm:sqref>N18:N20 N24:N34 N40</xm:sqref>
        </x14:conditionalFormatting>
      </x14:conditionalFormattings>
    </ext>
    <ext xmlns:x15="http://schemas.microsoft.com/office/spreadsheetml/2010/11/main" uri="{7E03D99C-DC04-49d9-9315-930204A7B6E9}">
      <x15:timelineRefs>
        <x15:timelineRef r:id="rId4"/>
      </x15:timelineRef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4CDF7-914C-44E0-A8FA-1FD06D7D3EB1}">
  <sheetPr>
    <tabColor theme="7" tint="0.79998168889431442"/>
  </sheetPr>
  <dimension ref="B1:S63"/>
  <sheetViews>
    <sheetView showGridLines="0" workbookViewId="0">
      <pane ySplit="1" topLeftCell="A2" activePane="bottomLeft" state="frozen"/>
      <selection pane="bottomLeft"/>
    </sheetView>
  </sheetViews>
  <sheetFormatPr defaultRowHeight="15"/>
  <cols>
    <col min="1" max="1" width="3.7109375" customWidth="1"/>
    <col min="2" max="2" width="10.28515625" customWidth="1"/>
    <col min="3" max="3" width="19.28515625" customWidth="1"/>
    <col min="4" max="4" width="10.140625" customWidth="1"/>
    <col min="6" max="6" width="6.28515625" customWidth="1"/>
    <col min="7" max="7" width="11.5703125" customWidth="1"/>
    <col min="8" max="8" width="13" customWidth="1"/>
    <col min="9" max="9" width="5.85546875" customWidth="1"/>
    <col min="10" max="10" width="11.28515625" bestFit="1" customWidth="1"/>
    <col min="11" max="11" width="8.42578125" bestFit="1" customWidth="1"/>
    <col min="12" max="12" width="7.5703125" bestFit="1" customWidth="1"/>
    <col min="13" max="13" width="5.28515625" customWidth="1"/>
    <col min="14" max="14" width="16.42578125" bestFit="1" customWidth="1"/>
    <col min="15" max="15" width="13.28515625" bestFit="1" customWidth="1"/>
    <col min="16" max="16" width="16.42578125" bestFit="1" customWidth="1"/>
    <col min="17" max="17" width="13.28515625" bestFit="1" customWidth="1"/>
    <col min="18" max="18" width="11.85546875" bestFit="1" customWidth="1"/>
  </cols>
  <sheetData>
    <row r="1" spans="3:3" s="15" customFormat="1" ht="72.75" customHeight="1" thickBot="1">
      <c r="C1" s="14" t="s">
        <v>0</v>
      </c>
    </row>
    <row r="2" spans="3:3" ht="26.25" customHeight="1" thickTop="1"/>
    <row r="24" spans="2:19" s="12" customFormat="1" ht="21">
      <c r="B24" s="22" t="s">
        <v>1</v>
      </c>
      <c r="C24" s="13"/>
      <c r="D24" s="13"/>
      <c r="E24" s="13"/>
      <c r="F24" s="13"/>
      <c r="G24" s="22" t="s">
        <v>91</v>
      </c>
      <c r="H24" s="13"/>
      <c r="I24" s="13"/>
      <c r="J24" s="13"/>
      <c r="K24" s="13"/>
      <c r="L24" s="13"/>
      <c r="M24" s="13"/>
      <c r="N24" s="13"/>
      <c r="O24" s="13"/>
      <c r="P24" s="13"/>
      <c r="Q24" s="13"/>
      <c r="R24" s="13"/>
      <c r="S24" s="13"/>
    </row>
    <row r="26" spans="2:19" ht="26.25" customHeight="1">
      <c r="B26" s="9" t="s">
        <v>2</v>
      </c>
      <c r="C26" s="8"/>
      <c r="D26" s="8"/>
      <c r="E26" s="8"/>
      <c r="G26" s="9" t="s">
        <v>3</v>
      </c>
      <c r="J26" s="9" t="s">
        <v>4</v>
      </c>
      <c r="N26" s="9" t="s">
        <v>5</v>
      </c>
    </row>
    <row r="27" spans="2:19">
      <c r="B27" t="s">
        <v>6</v>
      </c>
      <c r="C27" t="s">
        <v>7</v>
      </c>
      <c r="D27" t="s">
        <v>8</v>
      </c>
      <c r="E27" t="s">
        <v>9</v>
      </c>
      <c r="G27" s="7" t="s">
        <v>10</v>
      </c>
      <c r="H27" s="7" t="s">
        <v>11</v>
      </c>
      <c r="J27" s="3" t="s">
        <v>12</v>
      </c>
      <c r="K27" s="7" t="s">
        <v>10</v>
      </c>
      <c r="L27" s="7" t="s">
        <v>11</v>
      </c>
      <c r="N27" s="3" t="s">
        <v>368</v>
      </c>
      <c r="O27" t="s">
        <v>366</v>
      </c>
      <c r="P27" t="s">
        <v>367</v>
      </c>
    </row>
    <row r="28" spans="2:19">
      <c r="B28" s="2">
        <v>46023</v>
      </c>
      <c r="C28" t="s">
        <v>359</v>
      </c>
      <c r="D28" s="6">
        <v>300</v>
      </c>
      <c r="E28">
        <f>'🏠 Start Here!'!$G$18*-1</f>
        <v>650</v>
      </c>
      <c r="G28" s="6">
        <v>8130</v>
      </c>
      <c r="H28" s="6">
        <v>18000</v>
      </c>
      <c r="J28" s="4" t="s">
        <v>362</v>
      </c>
      <c r="K28" s="6"/>
      <c r="L28" s="6"/>
      <c r="N28" s="4" t="s">
        <v>14</v>
      </c>
      <c r="O28" s="6">
        <v>1650</v>
      </c>
      <c r="P28">
        <v>2400</v>
      </c>
    </row>
    <row r="29" spans="2:19">
      <c r="B29" s="2">
        <v>46023</v>
      </c>
      <c r="C29" t="s">
        <v>360</v>
      </c>
      <c r="D29" s="6">
        <v>300</v>
      </c>
      <c r="E29">
        <f>'🏠 Start Here!'!$G$16*-1</f>
        <v>650</v>
      </c>
      <c r="J29" s="5" t="s">
        <v>15</v>
      </c>
      <c r="K29" s="6">
        <v>900</v>
      </c>
      <c r="L29" s="6">
        <v>1500</v>
      </c>
      <c r="N29" s="4" t="s">
        <v>359</v>
      </c>
      <c r="O29" s="6">
        <v>2080</v>
      </c>
      <c r="P29">
        <v>7800</v>
      </c>
    </row>
    <row r="30" spans="2:19">
      <c r="B30" s="2">
        <v>46023</v>
      </c>
      <c r="C30" t="s">
        <v>14</v>
      </c>
      <c r="D30" s="6">
        <v>300</v>
      </c>
      <c r="E30" s="6">
        <f>TblBudget[[#This Row],[Jan]]*-1</f>
        <v>200</v>
      </c>
      <c r="J30" s="5" t="s">
        <v>16</v>
      </c>
      <c r="K30" s="6">
        <v>1300</v>
      </c>
      <c r="L30" s="6">
        <v>3000</v>
      </c>
      <c r="N30" s="4" t="s">
        <v>360</v>
      </c>
      <c r="O30" s="6">
        <v>4400</v>
      </c>
      <c r="P30">
        <v>7800</v>
      </c>
    </row>
    <row r="31" spans="2:19">
      <c r="B31" s="2">
        <v>46054</v>
      </c>
      <c r="C31" t="s">
        <v>359</v>
      </c>
      <c r="D31" s="6">
        <v>0</v>
      </c>
      <c r="E31">
        <f>'🏠 Start Here!'!$G$18*-1</f>
        <v>650</v>
      </c>
      <c r="J31" s="5" t="s">
        <v>17</v>
      </c>
      <c r="K31" s="6">
        <v>2150</v>
      </c>
      <c r="L31" s="6">
        <v>4500</v>
      </c>
      <c r="N31" s="4" t="s">
        <v>82</v>
      </c>
      <c r="O31" s="6">
        <v>8130</v>
      </c>
      <c r="P31">
        <v>18000</v>
      </c>
    </row>
    <row r="32" spans="2:19">
      <c r="B32" s="2">
        <v>46054</v>
      </c>
      <c r="C32" t="s">
        <v>360</v>
      </c>
      <c r="D32" s="6">
        <v>300</v>
      </c>
      <c r="E32">
        <f>'🏠 Start Here!'!$G$16*-1</f>
        <v>650</v>
      </c>
      <c r="J32" s="5" t="s">
        <v>18</v>
      </c>
      <c r="K32" s="6">
        <v>2450</v>
      </c>
      <c r="L32" s="6">
        <v>6000</v>
      </c>
    </row>
    <row r="33" spans="2:12">
      <c r="B33" s="2">
        <v>46054</v>
      </c>
      <c r="C33" t="s">
        <v>14</v>
      </c>
      <c r="D33" s="6">
        <v>100</v>
      </c>
      <c r="E33" s="6">
        <f>'🎯 Budget'!E30*-1</f>
        <v>200</v>
      </c>
      <c r="J33" s="5" t="s">
        <v>19</v>
      </c>
      <c r="K33" s="6">
        <v>3000</v>
      </c>
      <c r="L33" s="6">
        <v>7500</v>
      </c>
    </row>
    <row r="34" spans="2:12">
      <c r="B34" s="2">
        <v>46082</v>
      </c>
      <c r="C34" t="s">
        <v>359</v>
      </c>
      <c r="D34" s="6">
        <v>400</v>
      </c>
      <c r="E34">
        <f>'🏠 Start Here!'!$G$18*-1</f>
        <v>650</v>
      </c>
      <c r="J34" s="5" t="s">
        <v>85</v>
      </c>
      <c r="K34" s="6">
        <v>3630</v>
      </c>
      <c r="L34" s="6">
        <v>9000</v>
      </c>
    </row>
    <row r="35" spans="2:12">
      <c r="B35" s="2">
        <v>46082</v>
      </c>
      <c r="C35" t="s">
        <v>360</v>
      </c>
      <c r="D35" s="6">
        <v>350</v>
      </c>
      <c r="E35">
        <f>'🏠 Start Here!'!$G$16*-1</f>
        <v>650</v>
      </c>
      <c r="J35" s="5" t="s">
        <v>86</v>
      </c>
      <c r="K35" s="6">
        <v>4230</v>
      </c>
      <c r="L35" s="6">
        <v>10500</v>
      </c>
    </row>
    <row r="36" spans="2:12">
      <c r="B36" s="2">
        <v>46082</v>
      </c>
      <c r="C36" t="s">
        <v>14</v>
      </c>
      <c r="D36" s="6">
        <v>100</v>
      </c>
      <c r="E36" s="6">
        <f>'🎯 Budget'!F30*-1</f>
        <v>200</v>
      </c>
      <c r="J36" s="5" t="s">
        <v>87</v>
      </c>
      <c r="K36" s="6">
        <v>4670</v>
      </c>
      <c r="L36" s="6">
        <v>12000</v>
      </c>
    </row>
    <row r="37" spans="2:12">
      <c r="B37" s="2">
        <v>46113</v>
      </c>
      <c r="C37" t="s">
        <v>359</v>
      </c>
      <c r="D37" s="6">
        <v>-200</v>
      </c>
      <c r="E37">
        <f>'🏠 Start Here!'!$G$18*-1</f>
        <v>650</v>
      </c>
      <c r="J37" s="5" t="s">
        <v>88</v>
      </c>
      <c r="K37" s="6">
        <v>5370</v>
      </c>
      <c r="L37" s="6">
        <v>13500</v>
      </c>
    </row>
    <row r="38" spans="2:12">
      <c r="B38" s="2">
        <v>46113</v>
      </c>
      <c r="C38" t="s">
        <v>360</v>
      </c>
      <c r="D38" s="6">
        <v>300</v>
      </c>
      <c r="E38">
        <f>'🏠 Start Here!'!$G$16*-1</f>
        <v>650</v>
      </c>
      <c r="J38" s="5" t="s">
        <v>89</v>
      </c>
      <c r="K38" s="6">
        <v>6010</v>
      </c>
      <c r="L38" s="6">
        <v>15000</v>
      </c>
    </row>
    <row r="39" spans="2:12">
      <c r="B39" s="2">
        <v>46113</v>
      </c>
      <c r="C39" t="s">
        <v>14</v>
      </c>
      <c r="D39" s="6">
        <v>200</v>
      </c>
      <c r="E39" s="6">
        <f>'🎯 Budget'!G30*-1</f>
        <v>200</v>
      </c>
      <c r="J39" s="5" t="s">
        <v>90</v>
      </c>
      <c r="K39" s="6">
        <v>7130</v>
      </c>
      <c r="L39" s="6">
        <v>16500</v>
      </c>
    </row>
    <row r="40" spans="2:12">
      <c r="B40" s="2">
        <v>46143</v>
      </c>
      <c r="C40" t="s">
        <v>359</v>
      </c>
      <c r="D40" s="6">
        <v>150</v>
      </c>
      <c r="E40">
        <f>'🏠 Start Here!'!$G$18*-1</f>
        <v>650</v>
      </c>
      <c r="J40" s="5" t="s">
        <v>13</v>
      </c>
      <c r="K40" s="6">
        <v>8130</v>
      </c>
      <c r="L40" s="6">
        <v>18000</v>
      </c>
    </row>
    <row r="41" spans="2:12">
      <c r="B41" s="2">
        <v>46143</v>
      </c>
      <c r="C41" t="s">
        <v>360</v>
      </c>
      <c r="D41" s="6">
        <v>300</v>
      </c>
      <c r="E41">
        <f>'🏠 Start Here!'!$G$16*-1</f>
        <v>650</v>
      </c>
    </row>
    <row r="42" spans="2:12">
      <c r="B42" s="2">
        <v>46143</v>
      </c>
      <c r="C42" t="s">
        <v>14</v>
      </c>
      <c r="D42" s="6">
        <v>100</v>
      </c>
      <c r="E42" s="6">
        <f>'🎯 Budget'!H30*-1</f>
        <v>200</v>
      </c>
    </row>
    <row r="43" spans="2:12">
      <c r="B43" s="2">
        <v>46174</v>
      </c>
      <c r="C43" t="s">
        <v>359</v>
      </c>
      <c r="D43" s="6">
        <v>220</v>
      </c>
      <c r="E43">
        <f>'🏠 Start Here!'!$G$18*-1</f>
        <v>650</v>
      </c>
    </row>
    <row r="44" spans="2:12">
      <c r="B44" s="2">
        <v>46174</v>
      </c>
      <c r="C44" t="s">
        <v>360</v>
      </c>
      <c r="D44" s="6">
        <v>300</v>
      </c>
      <c r="E44">
        <f>'🏠 Start Here!'!$G$16*-1</f>
        <v>650</v>
      </c>
    </row>
    <row r="45" spans="2:12">
      <c r="B45" s="2">
        <v>46174</v>
      </c>
      <c r="C45" t="s">
        <v>14</v>
      </c>
      <c r="D45" s="6">
        <v>110</v>
      </c>
      <c r="E45" s="6">
        <f>'🎯 Budget'!I30*-1</f>
        <v>200</v>
      </c>
    </row>
    <row r="46" spans="2:12">
      <c r="B46" s="2">
        <v>46204</v>
      </c>
      <c r="C46" t="s">
        <v>359</v>
      </c>
      <c r="D46" s="6">
        <v>200</v>
      </c>
      <c r="E46">
        <f>'🏠 Start Here!'!$G$18*-1</f>
        <v>650</v>
      </c>
    </row>
    <row r="47" spans="2:12">
      <c r="B47" s="2">
        <v>46204</v>
      </c>
      <c r="C47" t="s">
        <v>360</v>
      </c>
      <c r="D47" s="6">
        <v>300</v>
      </c>
      <c r="E47">
        <f>'🏠 Start Here!'!$G$16*-1</f>
        <v>650</v>
      </c>
    </row>
    <row r="48" spans="2:12">
      <c r="B48" s="2">
        <v>46204</v>
      </c>
      <c r="C48" t="s">
        <v>14</v>
      </c>
      <c r="D48" s="6">
        <v>100</v>
      </c>
      <c r="E48" s="6">
        <f>'🎯 Budget'!J30*-1</f>
        <v>200</v>
      </c>
    </row>
    <row r="49" spans="2:5">
      <c r="B49" s="2">
        <v>46235</v>
      </c>
      <c r="C49" t="s">
        <v>359</v>
      </c>
      <c r="D49" s="6">
        <v>90</v>
      </c>
      <c r="E49">
        <f>'🏠 Start Here!'!$G$18*-1</f>
        <v>650</v>
      </c>
    </row>
    <row r="50" spans="2:5">
      <c r="B50" s="2">
        <v>46235</v>
      </c>
      <c r="C50" t="s">
        <v>360</v>
      </c>
      <c r="D50" s="6">
        <v>300</v>
      </c>
      <c r="E50">
        <f>'🏠 Start Here!'!$G$16*-1</f>
        <v>650</v>
      </c>
    </row>
    <row r="51" spans="2:5">
      <c r="B51" s="2">
        <v>46235</v>
      </c>
      <c r="C51" t="s">
        <v>14</v>
      </c>
      <c r="D51" s="6">
        <v>50</v>
      </c>
      <c r="E51" s="6">
        <f>'🎯 Budget'!K30*-1</f>
        <v>200</v>
      </c>
    </row>
    <row r="52" spans="2:5">
      <c r="B52" s="2">
        <v>46266</v>
      </c>
      <c r="C52" t="s">
        <v>359</v>
      </c>
      <c r="D52" s="6">
        <v>250</v>
      </c>
      <c r="E52">
        <f>'🏠 Start Here!'!$G$18*-1</f>
        <v>650</v>
      </c>
    </row>
    <row r="53" spans="2:5">
      <c r="B53" s="2">
        <v>46266</v>
      </c>
      <c r="C53" t="s">
        <v>360</v>
      </c>
      <c r="D53" s="6">
        <v>300</v>
      </c>
      <c r="E53">
        <f>'🏠 Start Here!'!$G$16*-1</f>
        <v>650</v>
      </c>
    </row>
    <row r="54" spans="2:5">
      <c r="B54" s="2">
        <v>46266</v>
      </c>
      <c r="C54" t="s">
        <v>14</v>
      </c>
      <c r="D54" s="6">
        <v>150</v>
      </c>
      <c r="E54" s="6">
        <f>'🎯 Budget'!L30*-1</f>
        <v>200</v>
      </c>
    </row>
    <row r="55" spans="2:5">
      <c r="B55" s="2">
        <v>46296</v>
      </c>
      <c r="C55" t="s">
        <v>359</v>
      </c>
      <c r="D55" s="6">
        <v>190</v>
      </c>
      <c r="E55">
        <f>'🏠 Start Here!'!$G$18*-1</f>
        <v>650</v>
      </c>
    </row>
    <row r="56" spans="2:5">
      <c r="B56" s="2">
        <v>46296</v>
      </c>
      <c r="C56" t="s">
        <v>360</v>
      </c>
      <c r="D56" s="6">
        <v>350</v>
      </c>
      <c r="E56">
        <f>'🏠 Start Here!'!$G$16*-1</f>
        <v>650</v>
      </c>
    </row>
    <row r="57" spans="2:5">
      <c r="B57" s="2">
        <v>46296</v>
      </c>
      <c r="C57" t="s">
        <v>14</v>
      </c>
      <c r="D57" s="6">
        <v>100</v>
      </c>
      <c r="E57" s="6">
        <f>'🎯 Budget'!M30*-1</f>
        <v>200</v>
      </c>
    </row>
    <row r="58" spans="2:5">
      <c r="B58" s="2">
        <v>46327</v>
      </c>
      <c r="C58" t="s">
        <v>359</v>
      </c>
      <c r="D58" s="6">
        <v>280</v>
      </c>
      <c r="E58">
        <f>'🏠 Start Here!'!$G$18*-1</f>
        <v>650</v>
      </c>
    </row>
    <row r="59" spans="2:5">
      <c r="B59" s="2">
        <v>46327</v>
      </c>
      <c r="C59" t="s">
        <v>360</v>
      </c>
      <c r="D59" s="6">
        <v>650</v>
      </c>
      <c r="E59">
        <f>'🏠 Start Here!'!$G$16*-1</f>
        <v>650</v>
      </c>
    </row>
    <row r="60" spans="2:5">
      <c r="B60" s="2">
        <v>46327</v>
      </c>
      <c r="C60" t="s">
        <v>14</v>
      </c>
      <c r="D60" s="6">
        <v>190</v>
      </c>
      <c r="E60" s="6">
        <f>'🎯 Budget'!N30*-1</f>
        <v>200</v>
      </c>
    </row>
    <row r="61" spans="2:5">
      <c r="B61" s="2">
        <v>46357</v>
      </c>
      <c r="C61" t="s">
        <v>359</v>
      </c>
      <c r="D61" s="6">
        <v>200</v>
      </c>
      <c r="E61">
        <f>'🏠 Start Here!'!$G$18*-1</f>
        <v>650</v>
      </c>
    </row>
    <row r="62" spans="2:5">
      <c r="B62" s="2">
        <v>46357</v>
      </c>
      <c r="C62" t="s">
        <v>360</v>
      </c>
      <c r="D62" s="6">
        <v>650</v>
      </c>
      <c r="E62">
        <f>'🏠 Start Here!'!$G$16*-1</f>
        <v>650</v>
      </c>
    </row>
    <row r="63" spans="2:5">
      <c r="B63" s="2">
        <v>46357</v>
      </c>
      <c r="C63" t="s">
        <v>14</v>
      </c>
      <c r="D63" s="6">
        <v>150</v>
      </c>
      <c r="E63" s="6">
        <f>'🎯 Budget'!O30*-1</f>
        <v>200</v>
      </c>
    </row>
  </sheetData>
  <phoneticPr fontId="5" type="noConversion"/>
  <dataValidations count="1">
    <dataValidation allowBlank="1" showInputMessage="1" showErrorMessage="1" promptTitle="Step 5: Track Savings" prompt="Enter your savings each month in the table in cell B27. Click Refresh All on the Formulas tab when done to update the report. " sqref="A1" xr:uid="{157BD71A-01F1-4F25-9A28-8237EFD1B249}"/>
  </dataValidations>
  <pageMargins left="0.7" right="0.7" top="0.75" bottom="0.75" header="0.3" footer="0.3"/>
  <drawing r:id="rId4"/>
  <tableParts count="1">
    <tablePart r:id="rId5"/>
  </tableParts>
  <extLst>
    <ext xmlns:x14="http://schemas.microsoft.com/office/spreadsheetml/2009/9/main" uri="{A8765BA9-456A-4dab-B4F3-ACF838C121DE}">
      <x14:slicerList>
        <x14:slicer r:id="rId6"/>
      </x14:slicerList>
    </ext>
    <ext xmlns:x15="http://schemas.microsoft.com/office/spreadsheetml/2010/11/main" uri="{7E03D99C-DC04-49d9-9315-930204A7B6E9}">
      <x15:timelineRefs>
        <x15:timelineRef r:id="rId7"/>
      </x15:timelineRef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6 a 7 c 9 4 5 9 - d 4 5 f - 4 d b 9 - 8 2 5 1 - 4 4 7 d 5 8 e f 2 3 f 4 "   x m l n s = " h t t p : / / s c h e m a s . m i c r o s o f t . c o m / D a t a M a s h u p " > A A A A A O 4 F A A B Q S w M E F A A C A A g A B 3 + 8 X J j C E i C k A A A A 9 g A A A B I A H A B D b 2 5 m a W c v U G F j a 2 F n Z S 5 4 b W w g o h g A K K A U A A A A A A A A A A A A A A A A A A A A A A A A A A A A h Y 9 B D o I w F E S v Q r q n L S U a Q 0 q J c S u J i d G 4 b U q F R v g Y W i x 3 c + G R v I I Y R d 2 5 n D d v M X O / 3 n g 2 N H V w 0 Z 0 1 L a Q o w h Q F G l R b G C h T 1 L t j u E C Z 4 B u p T r L U w S i D T Q Z b p K h y 7 p w Q 4 r 3 H P s Z t V x J G a U Q O + X q r K t 1 I 9 J H N f z k 0 Y J 0 E p Z H g + 9 c Y w X A 0 i z F j c 0 w 5 m S D P D X w F N u 5 9 t j + Q r / r a 9 Z 0 W G s L l j p M p c v L + I B 5 Q S w M E F A A C A A g A B 3 + 8 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d / v F w I d S 8 7 6 A I A A F s K A A A T A B w A R m 9 y b X V s Y X M v U 2 V j d G l v b j E u b S C i G A A o o B Q A A A A A A A A A A A A A A A A A A A A A A A A A A A C t V U 1 r 4 z A Q v Q f y H 4 z 3 4 o A T t r D s Z e k h d b r Q 7 C a l m 7 T L E n K Q 7 W l i a k t G l k p D 8 H / f k e z 4 Q 1 F b K M 0 l 5 o 3 0 5 m k 0 8 1 R A J B J G n V X 1 f / F j O B g O i j 3 h E D v r M F 1 z Q g u i Q 4 V z 6 a Q g h g M H f y s m e Q S I X L 9 E k E 4 C y T l Q 8 Z f x p 5 C x J 2 9 0 3 C x J B p e u Q e F u y 0 3 A q M C 1 W 7 9 i + u I G e 0 J 3 K t 0 h B x c p 1 y R M Y a K 3 P T K e B S y V G V X B w q v S + s e j O 4 0 i J q l w f U d g x B H w I k r f O b o z I u A E x v h d g V B E P M m V h P M N E C Y N D Z V Z C F z j A V b A G l j J c B w h 8 4 7 x Q 4 + t H D V H + g N 5 S i I 8 0 w N J Z e d Q N a 5 R z z i 5 T 2 W a + l / 9 e g 3 v L f Z b o S d l n X T T O E a W Q B a C Z W 0 y R K v a e W e C k G U a C U l S / A I S 7 Z 1 N R b p 1 x s 5 G J 9 r 2 D t 4 9 W c a e V T L N X H S P p g I 1 7 B m a r P K H g 4 S + R m u 0 Y V D V O 4 G P N m F L 8 H k t + G o j 6 P Z 5 L 1 B f e q 9 / u h X p S T L K c S X j H Y g P l q L a / H l l m B N q m Z J / Q D j C N 1 R 8 / z Z R W 9 6 e H R X 8 C a G F a K F 5 T H S a 2 9 A F O V j Q u b Q J n M v U x i t 3 t p G H 3 I L e R j Z 7 W L J n C z q D y E A 7 4 3 t P 8 + S Z C S z 8 r d g D P 5 + t e o G O t h P W d 4 + 2 5 v 0 q l 2 r W h e B J K L U z u p U D t N k X w H e 2 g Q 5 Y F i a 0 m e g 3 e u H 1 E 6 C q R l a n 0 V E F 0 P H 0 H l U c + + L 0 2 t K v c / O T i D V u u z r M I E 2 y R A D 3 3 D E u v p O Y c S U O K G v J K I z 8 y v x H 1 n a + e K e f z + q g W v v s M e l Z P M W J s h q h C t i v 6 U L T N h 5 c j 2 J p e m G f u T v 8 q I h Y 5 7 5 3 Z 9 7 R e H f 9 1 j X K s 5 u / k 6 C N s W F Z Q o F X O W c J P Y 2 5 O b q l 3 3 d l 2 w L D d n 1 H E f 5 K a D z 5 D Y / i F i + 8 8 6 x c v + S E x p W 7 z R 5 a K R W u v 5 u 3 z J B t y d S z X 8 N x T X c 2 w 6 2 m G 1 o A V z 2 t m 9 L 6 r B q y T w 1 c P 6 q q f S Y K 8 D b q c z v q + q E l z w L 9 e G 9 P 1 N e C e a q 1 3 U Q a a T M 1 4 2 a f h 3 f H w V C l + v a U s 2 P q b 7 1 Z / w F Q S w E C L Q A U A A I A C A A H f 7 x c m M I S I K Q A A A D 2 A A A A E g A A A A A A A A A A A A A A A A A A A A A A Q 2 9 u Z m l n L 1 B h Y 2 t h Z 2 U u e G 1 s U E s B A i 0 A F A A C A A g A B 3 + 8 X A / K 6 a u k A A A A 6 Q A A A B M A A A A A A A A A A A A A A A A A 8 A A A A F t D b 2 5 0 Z W 5 0 X 1 R 5 c G V z X S 5 4 b W x Q S w E C L Q A U A A I A C A A H f 7 x c C H U v O + g C A A B b C g A A E w A A A A A A A A A A A A A A A A D h A Q A A R m 9 y b X V s Y X M v U 2 V j d G l v b j E u b V B L B Q Y A A A A A A w A D A M I A A A A W B Q 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E I Q A A A A A A A O I g 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m x C d W R n Z X Q 8 L 0 l 0 Z W 1 Q Y X R o P j w v S X R l b U x v Y 2 F 0 a W 9 u P j x T d G F i b G V F b n R y a W V z P j x F b n R y e S B U e X B l P S J J c 1 B y a X Z h d G U i I F Z h b H V l P S J s M C I g L z 4 8 R W 5 0 c n k g V H l w Z T 0 i R m l s b E V u Y W J s Z W Q i I F Z h b H V l P S J s M C I g L z 4 8 R W 5 0 c n k g V H l w Z T 0 i Q n V m Z m V y T m V 4 d F J l Z n J l c 2 g i I F Z h b H V l P S J s M S 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U X V l c n l J R C I g V m F s d W U 9 I n M 5 O T A 2 O T h l M y 0 4 O G Z k L T R j M D Y t O W Q 1 O S 0 1 M m M 5 M D Q 3 N j k 5 Y 2 I i I C 8 + P E V u d H J 5 I F R 5 c G U 9 I k Z p b G x P Y m p l Y 3 R U e X B l I i B W Y W x 1 Z T 0 i c 0 N v b m 5 l Y 3 R p b 2 5 P b m x 5 I i A v P j x F b n R y e S B U e X B l P S J G a W x s V G 9 E Y X R h T W 9 k Z W x F b m F i b G V k I i B W Y W x 1 Z T 0 i b D A i I C 8 + P E V u d H J 5 I F R 5 c G U 9 I k Z p b G x T d G F 0 d X M i I F Z h b H V l P S J z Q 2 9 t c G x l d G U i I C 8 + P E V u d H J 5 I F R 5 c G U 9 I k Z p b G x M Y X N 0 V X B k Y X R l Z C I g V m F s d W U 9 I m Q y M D I 2 L T A 1 L T I 4 V D E 0 O j U 2 O j E 0 L j U 3 O D k w M D B a I i A v P j x F b n R y e S B U e X B l P S J G a W x s R X J y b 3 J D b 2 R l I i B W Y W x 1 Z T 0 i c 1 V u a 2 5 v d 2 4 i I C 8 + P E V u d H J 5 I F R 5 c G U 9 I k F k Z G V k V G 9 E Y X R h T W 9 k Z W w i I F Z h b H V l P S J s M C I g L z 4 8 L 1 N 0 Y W J s Z U V u d H J p Z X M + P C 9 J d G V t P j x J d G V t P j x J d G V t T G 9 j Y X R p b 2 4 + P E l 0 Z W 1 U e X B l P k Z v c m 1 1 b G E 8 L 0 l 0 Z W 1 U e X B l P j x J d G V t U G F 0 a D 5 T Z W N 0 a W 9 u M S 9 U Y m x C d W R n Z X Q v U 2 9 1 c m N l P C 9 J d G V t U G F 0 a D 4 8 L 0 l 0 Z W 1 M b 2 N h d G l v b j 4 8 U 3 R h Y m x l R W 5 0 c m l l c y A v P j w v S X R l b T 4 8 S X R l b T 4 8 S X R l b U x v Y 2 F 0 a W 9 u P j x J d G V t V H l w Z T 5 G b 3 J t d W x h P C 9 J d G V t V H l w Z T 4 8 S X R l b V B h d G g + U 2 V j d G l v b j E v V G J s V H J h b n N h Y 3 R p b 2 5 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J 1 Z m Z l c k 5 l e H R S Z W Z y Z X N o I i B W Y W x 1 Z T 0 i b D E i I C 8 + P E V u d H J 5 I F R 5 c G U 9 I k Z p b G x l Z E N v b X B s Z X R l U m V z d W x 0 V G 9 X b 3 J r c 2 h l Z X Q i I F Z h b H V l P S J s M C I g L z 4 8 R W 5 0 c n k g V H l w Z T 0 i U X V l c n l J R C I g V m F s d W U 9 I n M w O T B h N D Y 4 N C 0 y M G J l L T R j N G M t O W Z i N i 0 x Z T J m O D g y M 2 V j M G E i I C 8 + P E V u d H J 5 I F R 5 c G U 9 I k 5 h d m l n Y X R p b 2 5 T d G V w T m F t Z S I g V m F s d W U 9 I n N O Y X Z p Z 2 F 0 a W 9 u I i A v P j x F b n R y e S B U e X B l P S J G a W x s U 3 R h d H V z I i B W Y W x 1 Z T 0 i c 0 N v b X B s Z X R l I i A v P j x F b n R y e S B U e X B l P S J G a W x s T G F z d F V w Z G F 0 Z W Q i I F Z h b H V l P S J k M j A y N i 0 w N S 0 y O F Q x N D o 1 N j o x N C 4 1 N z c 4 O T U 4 W i I g L z 4 8 R W 5 0 c n k g V H l w Z T 0 i R m l s b E V y c m 9 y Q 2 9 k Z S I g V m F s d W U 9 I n N V b m t u b 3 d u I i A v P j x F b n R y e S B U e X B l P S J B Z G R l Z F R v R G F 0 Y U 1 v Z G V s I i B W Y W x 1 Z T 0 i b D A i I C 8 + P C 9 T d G F i b G V F b n R y a W V z P j w v S X R l b T 4 8 S X R l b T 4 8 S X R l b U x v Y 2 F 0 a W 9 u P j x J d G V t V H l w Z T 5 G b 3 J t d W x h P C 9 J d G V t V H l w Z T 4 8 S X R l b V B h d G g + U 2 V j d G l v b j E v V G J s V H J h b n N h Y 3 R p b 2 5 z L 1 N v d X J j Z T w v S X R l b V B h d G g + P C 9 J d G V t T G 9 j Y X R p b 2 4 + P F N 0 Y W J s Z U V u d H J p Z X M g L z 4 8 L 0 l 0 Z W 0 + P E l 0 Z W 0 + P E l 0 Z W 1 M b 2 N h d G l v b j 4 8 S X R l b V R 5 c G U + R m 9 y b X V s Y T w v S X R l b V R 5 c G U + P E l 0 Z W 1 Q Y X R o P l N l Y 3 R p b 2 4 x L 1 R i b F R y Y W 5 z Y W N 0 a W 9 u c y 9 D a G F u Z 2 V k J T I w V H l w Z T w v S X R l b V B h d G g + P C 9 J d G V t T G 9 j Y X R p b 2 4 + P F N 0 Y W J s Z U V u d H J p Z X M g L z 4 8 L 0 l 0 Z W 0 + P E l 0 Z W 0 + P E l 0 Z W 1 M b 2 N h d G l v b j 4 8 S X R l b V R 5 c G U + R m 9 y b X V s Y T w v S X R l b V R 5 c G U + P E l 0 Z W 1 Q Y X R o P l N l Y 3 R p b 2 4 x L 1 R i b F R y Y W 5 z Y W N 0 a W 9 u c y 9 B Z G R l Z C U y M E N 1 c 3 R v b T w v S X R l b V B h d G g + P C 9 J d G V t T G 9 j Y X R p b 2 4 + P F N 0 Y W J s Z U V u d H J p Z X M g L z 4 8 L 0 l 0 Z W 0 + P E l 0 Z W 0 + P E l 0 Z W 1 M b 2 N h d G l v b j 4 8 S X R l b V R 5 c G U + R m 9 y b X V s Y T w v S X R l b V R 5 c G U + P E l 0 Z W 1 Q Y X R o P l N l Y 3 R p b 2 4 x L 1 R i b F R y Y W 5 z Y W N 0 a W 9 u c y 9 S Z X B s Y W N l Z C U y M F Z h b H V l P C 9 J d G V t U G F 0 a D 4 8 L 0 l 0 Z W 1 M b 2 N h d G l v b j 4 8 U 3 R h Y m x l R W 5 0 c m l l c y A v P j w v S X R l b T 4 8 S X R l b T 4 8 S X R l b U x v Y 2 F 0 a W 9 u P j x J d G V t V H l w Z T 5 G b 3 J t d W x h P C 9 J d G V t V H l w Z T 4 8 S X R l b V B h d G g + U 2 V j d G l v b j E v V G J s V H J h b n N h Y 3 R p b 2 5 z L 1 J l b W 9 2 Z W Q l M j B D b 2 x 1 b W 5 z P C 9 J d G V t U G F 0 a D 4 8 L 0 l 0 Z W 1 M b 2 N h d G l v b j 4 8 U 3 R h Y m x l R W 5 0 c m l l c y A v P j w v S X R l b T 4 8 S X R l b T 4 8 S X R l b U x v Y 2 F 0 a W 9 u P j x J d G V t V H l w Z T 5 G b 3 J t d W x h P C 9 J d G V t V H l w Z T 4 8 S X R l b V B h d G g + U 2 V j d G l v b j E v V G J s Q n V k Z 2 V 0 L 0 N o Y W 5 n Z W Q l M j B U e X B l P C 9 J d G V t U G F 0 a D 4 8 L 0 l 0 Z W 1 M b 2 N h d G l v b j 4 8 U 3 R h Y m x l R W 5 0 c m l l c y A v P j w v S X R l b T 4 8 S X R l b T 4 8 S X R l b U x v Y 2 F 0 a W 9 u P j x J d G V t V H l w Z T 5 G b 3 J t d W x h P C 9 J d G V t V H l w Z T 4 8 S X R l b V B h d G g + U 2 V j d G l v b j E v V G J s Q n V k Z 2 V 0 L 1 V u c G l 2 b 3 R l Z C U y M E 9 0 a G V y J T I w Q 2 9 s d W 1 u c z w v S X R l b V B h d G g + P C 9 J d G V t T G 9 j Y X R p b 2 4 + P F N 0 Y W J s Z U V u d H J p Z X M g L z 4 8 L 0 l 0 Z W 0 + P E l 0 Z W 0 + P E l 0 Z W 1 M b 2 N h d G l v b j 4 8 S X R l b V R 5 c G U + R m 9 y b X V s Y T w v S X R l b V R 5 c G U + P E l 0 Z W 1 Q Y X R o P l N l Y 3 R p b 2 4 x L 0 R h d G E 8 L 0 l 0 Z W 1 Q Y X R o P j w v S X R l b U x v Y 2 F 0 a W 9 u P j x T d G F i b G V F b n R y a W V z P j x F b n R y e S B U e X B l P S J J c 1 B y a X Z h d G U i I F Z h b H V l P S J s M C I g L z 4 8 R W 5 0 c n k g V H l w Z T 0 i U X V l c n l J R C I g V m F s d W U 9 I n M 5 Z W Q 3 N D I y Y i 0 2 Y T d i L T R l O D M t Y j A 5 M i 1 m N W U 3 Z G Z m Z G Z h M j Y i I C 8 + P E V u d H J 5 I F R 5 c G U 9 I k Z p b G 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k Z p b G x D b 2 x 1 b W 5 U e X B l c y I g V m F s d W U 9 I n N C Z 2 t H Q m d V R k J n W U R B d z 0 9 I i A v P j x F b n R y e S B U e X B l P S J Q a X Z v d E 9 i a m V j d E 5 h b W U i I F Z h b H V l P S J z 8 J + T i i B S Z X B v c n Q h U F R Q c m 9 m a X R M b 3 N z I i A v P j x F b n R y e S B U e X B l P S J G a W x s V G 9 E Y X R h T W 9 k Z W x F b m F i b G V k I i B W Y W x 1 Z T 0 i b D A i I C 8 + P E V u d H J 5 I F R 5 c G U 9 I k Z p b G x D b 2 x 1 b W 5 O Y W 1 l c y I g V m F s d W U 9 I n N b J n F 1 b 3 Q 7 Q W N j b 3 V u d C Z x d W 9 0 O y w m c X V v d D t E Y X R l J n F 1 b 3 Q 7 L C Z x d W 9 0 O 0 R l c 2 N y a X B 0 a W 9 u J n F 1 b 3 Q 7 L C Z x d W 9 0 O 1 N 1 Y i 1 j Y X R l Z 2 9 y e S Z x d W 9 0 O y w m c X V v d D t B Y 3 R 1 Y W w m c X V v d D s s J n F 1 b 3 Q 7 Q n V k Z 2 V 0 J n F 1 b 3 Q 7 L C Z x d W 9 0 O 0 N h d G V n b 3 J 5 J n F 1 b 3 Q 7 L C Z x d W 9 0 O 0 N h d G V n b 3 J 5 I F R 5 c G U m c X V v d D s s J n F 1 b 3 Q 7 W W V h c i Z x d W 9 0 O y w m c X V v d D t N b 2 5 0 a C Z x d W 9 0 O 1 0 i I C 8 + P E V u d H J 5 I F R 5 c G U 9 I k Z p b G x P Y m p l Y 3 R U e X B l I i B W Y W x 1 Z T 0 i c 1 B p d m 9 0 V G F i b G U i I C 8 + P E V u d H J 5 I F R 5 c G U 9 I k x v Y W R l Z F R v Q W 5 h b H l z a X N T Z X J 2 a W N l c y I g V m F s d W U 9 I m w w I i A v P j x F b n R y e S B U e X B l P S J G a W x s T G F z d F V w Z G F 0 Z W Q i I F Z h b H V l P S J k M j A y N i 0 w N S 0 y O F Q x N D o 1 N j o x N S 4 0 M z Y x O D g x W i I g L z 4 8 R W 5 0 c n k g V H l w Z T 0 i R m l s b F N 0 Y X R 1 c y I g V m F s d W U 9 I n N D b 2 1 w b G V 0 Z S I g L z 4 8 R W 5 0 c n k g V H l w Z T 0 i R m l s b E V y c m 9 y Q 2 9 1 b n Q i I F Z h b H V l P S J s M C I g L z 4 8 R W 5 0 c n k g V H l w Z T 0 i U m V s Y X R p b 2 5 z a G l w S W 5 m b 0 N v b n R h a W 5 l c i I g V m F s d W U 9 I n N 7 J n F 1 b 3 Q 7 Y 2 9 s d W 1 u Q 2 9 1 b n Q m c X V v d D s 6 M T A s J n F 1 b 3 Q 7 a 2 V 5 Q 2 9 s d W 1 u T m F t Z X M m c X V v d D s 6 W 1 0 s J n F 1 b 3 Q 7 c X V l c n l S Z W x h d G l v b n N o a X B z J n F 1 b 3 Q 7 O l t d L C Z x d W 9 0 O 2 N v b H V t b k l k Z W 5 0 a X R p Z X M m c X V v d D s 6 W y Z x d W 9 0 O 1 N l Y 3 R p b 2 4 x L 0 R h d G E v Q X V 0 b 1 J l b W 9 2 Z W R D b 2 x 1 b W 5 z M S 5 7 Q W N j b 3 V u d C w w f S Z x d W 9 0 O y w m c X V v d D t T Z W N 0 a W 9 u M S 9 E Y X R h L 0 F 1 d G 9 S Z W 1 v d m V k Q 2 9 s d W 1 u c z E u e 0 R h d G U s M X 0 m c X V v d D s s J n F 1 b 3 Q 7 U 2 V j d G l v b j E v R G F 0 Y S 9 B d X R v U m V t b 3 Z l Z E N v b H V t b n M x L n t E Z X N j c m l w d G l v b i w y f S Z x d W 9 0 O y w m c X V v d D t T Z W N 0 a W 9 u M S 9 E Y X R h L 0 F 1 d G 9 S Z W 1 v d m V k Q 2 9 s d W 1 u c z E u e 1 N 1 Y i 1 j Y X R l Z 2 9 y e S w z f S Z x d W 9 0 O y w m c X V v d D t T Z W N 0 a W 9 u M S 9 E Y X R h L 0 F 1 d G 9 S Z W 1 v d m V k Q 2 9 s d W 1 u c z E u e 0 F j d H V h b C w 0 f S Z x d W 9 0 O y w m c X V v d D t T Z W N 0 a W 9 u M S 9 E Y X R h L 0 F 1 d G 9 S Z W 1 v d m V k Q 2 9 s d W 1 u c z E u e 0 J 1 Z G d l d C w 1 f S Z x d W 9 0 O y w m c X V v d D t T Z W N 0 a W 9 u M S 9 E Y X R h L 0 F 1 d G 9 S Z W 1 v d m V k Q 2 9 s d W 1 u c z E u e 0 N h d G V n b 3 J 5 L D Z 9 J n F 1 b 3 Q 7 L C Z x d W 9 0 O 1 N l Y 3 R p b 2 4 x L 0 R h d G E v Q X V 0 b 1 J l b W 9 2 Z W R D b 2 x 1 b W 5 z M S 5 7 Q 2 F 0 Z W d v c n k g V H l w Z S w 3 f S Z x d W 9 0 O y w m c X V v d D t T Z W N 0 a W 9 u M S 9 E Y X R h L 0 F 1 d G 9 S Z W 1 v d m V k Q 2 9 s d W 1 u c z E u e 1 l l Y X I s O H 0 m c X V v d D s s J n F 1 b 3 Q 7 U 2 V j d G l v b j E v R G F 0 Y S 9 B d X R v U m V t b 3 Z l Z E N v b H V t b n M x L n t N b 2 5 0 a C w 5 f S Z x d W 9 0 O 1 0 s J n F 1 b 3 Q 7 Q 2 9 s d W 1 u Q 2 9 1 b n Q m c X V v d D s 6 M T A s J n F 1 b 3 Q 7 S 2 V 5 Q 2 9 s d W 1 u T m F t Z X M m c X V v d D s 6 W 1 0 s J n F 1 b 3 Q 7 Q 2 9 s d W 1 u S W R l b n R p d G l l c y Z x d W 9 0 O z p b J n F 1 b 3 Q 7 U 2 V j d G l v b j E v R G F 0 Y S 9 B d X R v U m V t b 3 Z l Z E N v b H V t b n M x L n t B Y 2 N v d W 5 0 L D B 9 J n F 1 b 3 Q 7 L C Z x d W 9 0 O 1 N l Y 3 R p b 2 4 x L 0 R h d G E v Q X V 0 b 1 J l b W 9 2 Z W R D b 2 x 1 b W 5 z M S 5 7 R G F 0 Z S w x f S Z x d W 9 0 O y w m c X V v d D t T Z W N 0 a W 9 u M S 9 E Y X R h L 0 F 1 d G 9 S Z W 1 v d m V k Q 2 9 s d W 1 u c z E u e 0 R l c 2 N y a X B 0 a W 9 u L D J 9 J n F 1 b 3 Q 7 L C Z x d W 9 0 O 1 N l Y 3 R p b 2 4 x L 0 R h d G E v Q X V 0 b 1 J l b W 9 2 Z W R D b 2 x 1 b W 5 z M S 5 7 U 3 V i L W N h d G V n b 3 J 5 L D N 9 J n F 1 b 3 Q 7 L C Z x d W 9 0 O 1 N l Y 3 R p b 2 4 x L 0 R h d G E v Q X V 0 b 1 J l b W 9 2 Z W R D b 2 x 1 b W 5 z M S 5 7 Q W N 0 d W F s L D R 9 J n F 1 b 3 Q 7 L C Z x d W 9 0 O 1 N l Y 3 R p b 2 4 x L 0 R h d G E v Q X V 0 b 1 J l b W 9 2 Z W R D b 2 x 1 b W 5 z M S 5 7 Q n V k Z 2 V 0 L D V 9 J n F 1 b 3 Q 7 L C Z x d W 9 0 O 1 N l Y 3 R p b 2 4 x L 0 R h d G E v Q X V 0 b 1 J l b W 9 2 Z W R D b 2 x 1 b W 5 z M S 5 7 Q 2 F 0 Z W d v c n k s N n 0 m c X V v d D s s J n F 1 b 3 Q 7 U 2 V j d G l v b j E v R G F 0 Y S 9 B d X R v U m V t b 3 Z l Z E N v b H V t b n M x L n t D Y X R l Z 2 9 y e S B U e X B l L D d 9 J n F 1 b 3 Q 7 L C Z x d W 9 0 O 1 N l Y 3 R p b 2 4 x L 0 R h d G E v Q X V 0 b 1 J l b W 9 2 Z W R D b 2 x 1 b W 5 z M S 5 7 W W V h c i w 4 f S Z x d W 9 0 O y w m c X V v d D t T Z W N 0 a W 9 u M S 9 E Y X R h L 0 F 1 d G 9 S Z W 1 v d m V k Q 2 9 s d W 1 u c z E u e 0 1 v b n R o L D l 9 J n F 1 b 3 Q 7 X S w m c X V v d D t S Z W x h d G l v b n N o a X B J b m Z v J n F 1 b 3 Q 7 O l t d f S I g L z 4 8 R W 5 0 c n k g V H l w Z T 0 i R m l s b E V y c m 9 y Q 2 9 k Z S I g V m F s d W U 9 I n N V b m t u b 3 d u I i A v P j x F b n R y e S B U e X B l P S J G a W x s Q 2 9 1 b n Q i I F Z h b H V l P S J s M T A y N i I g L z 4 8 R W 5 0 c n k g V H l w Z T 0 i Q W R k Z W R U b 0 R h d G F N b 2 R l b C I g V m F s d W U 9 I m w w I i A v P j w v U 3 R h Y m x l R W 5 0 c m l l c z 4 8 L 0 l 0 Z W 0 + P E l 0 Z W 0 + P E l 0 Z W 1 M b 2 N h d G l v b j 4 8 S X R l b V R 5 c G U + R m 9 y b X V s Y T w v S X R l b V R 5 c G U + P E l 0 Z W 1 Q Y X R o P l N l Y 3 R p b 2 4 x L 0 R h d G E v U 2 9 1 c m N l P C 9 J d G V t U G F 0 a D 4 8 L 0 l 0 Z W 1 M b 2 N h d G l v b j 4 8 U 3 R h Y m x l R W 5 0 c m l l c y A v P j w v S X R l b T 4 8 S X R l b T 4 8 S X R l b U x v Y 2 F 0 a W 9 u P j x J d G V t V H l w Z T 5 G b 3 J t d W x h P C 9 J d G V t V H l w Z T 4 8 S X R l b V B h d G g + U 2 V j d G l v b j E v R G F 0 Y S 9 N Z X J n Z W Q l M j B R d W V y a W V z P C 9 J d G V t U G F 0 a D 4 8 L 0 l 0 Z W 1 M b 2 N h d G l v b j 4 8 U 3 R h Y m x l R W 5 0 c m l l c y A v P j w v S X R l b T 4 8 S X R l b T 4 8 S X R l b U x v Y 2 F 0 a W 9 u P j x J d G V t V H l w Z T 5 G b 3 J t d W x h P C 9 J d G V t V H l w Z T 4 8 S X R l b V B h d G g + U 2 V j d G l v b j E v R G F 0 Y S 9 J b n N l c n R l Z C U y M F l l Y X I 8 L 0 l 0 Z W 1 Q Y X R o P j w v S X R l b U x v Y 2 F 0 a W 9 u P j x T d G F i b G V F b n R y a W V z I C 8 + P C 9 J d G V t P j x J d G V t P j x J d G V t T G 9 j Y X R p b 2 4 + P E l 0 Z W 1 U e X B l P k Z v c m 1 1 b G E 8 L 0 l 0 Z W 1 U e X B l P j x J d G V t U G F 0 a D 5 T Z W N 0 a W 9 u M S 9 E Y X R h L 0 l u c 2 V y d G V k J T I w T W 9 u d G g 8 L 0 l 0 Z W 1 Q Y X R o P j w v S X R l b U x v Y 2 F 0 a W 9 u P j x T d G F i b G V F b n R y a W V z I C 8 + P C 9 J d G V t P j x J d G V t P j x J d G V t T G 9 j Y X R p b 2 4 + P E l 0 Z W 1 U e X B l P k Z v c m 1 1 b G E 8 L 0 l 0 Z W 1 U e X B l P j x J d G V t U G F 0 a D 5 T Z W N 0 a W 9 u M S 9 E Y X R h L 0 N o Y W 5 n Z W Q l M j B U e X B l P C 9 J d G V t U G F 0 a D 4 8 L 0 l 0 Z W 1 M b 2 N h d G l v b j 4 8 U 3 R h Y m x l R W 5 0 c m l l c y A v P j w v S X R l b T 4 8 S X R l b T 4 8 S X R l b U x v Y 2 F 0 a W 9 u P j x J d G V t V H l w Z T 5 G b 3 J t d W x h P C 9 J d G V t V H l w Z T 4 8 S X R l b V B h d G g + U 2 V j d G l v b j E v V G J s Q 2 F 0 Z W d v c m l l 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R m l s b G V k Q 2 9 t c G x l d G V S Z X N 1 b H R U b 1 d v c m t z a G V l d C I g V m F s d W U 9 I m w w I i A v P j x F b n R y e S B U e X B l P S J R d W V y e U l E I i B W Y W x 1 Z T 0 i c z c 2 M z M x N T B k L W R k M W Q t N D k x M S 1 i O D Y y L T M 4 O D l i Y 2 F l O D J m Z S I g L z 4 8 R W 5 0 c n k g V H l w Z T 0 i Q n V m Z m V y T m V 4 d F J l Z n J l c 2 g i I F Z h b H V l P S J s M S I g L z 4 8 R W 5 0 c n k g V H l w Z T 0 i R m l s b F N 0 Y X R 1 c y I g V m F s d W U 9 I n N D b 2 1 w b G V 0 Z S I g L z 4 8 R W 5 0 c n k g V H l w Z T 0 i R m l s b E x h c 3 R V c G R h d G V k I i B W Y W x 1 Z T 0 i Z D I w M j Y t M D U t M j h U M T Q 6 N T Y 6 M T Q u N T c 3 O D k 1 O F o i I C 8 + P E V u d H J 5 I F R 5 c G U 9 I k Z p b G x F c n J v c k N v Z G U i I F Z h b H V l P S J z V W 5 r b m 9 3 b i I g L z 4 8 R W 5 0 c n k g V H l w Z T 0 i Q W R k Z W R U b 0 R h d G F N b 2 R l b C I g V m F s d W U 9 I m w w I i A v P j w v U 3 R h Y m x l R W 5 0 c m l l c z 4 8 L 0 l 0 Z W 0 + P E l 0 Z W 0 + P E l 0 Z W 1 M b 2 N h d G l v b j 4 8 S X R l b V R 5 c G U + R m 9 y b X V s Y T w v S X R l b V R 5 c G U + P E l 0 Z W 1 Q Y X R o P l N l Y 3 R p b 2 4 x L 1 R i b E N h d G V n b 3 J p Z X M v U 2 9 1 c m N l P C 9 J d G V t U G F 0 a D 4 8 L 0 l 0 Z W 1 M b 2 N h d G l v b j 4 8 U 3 R h Y m x l R W 5 0 c m l l c y A v P j w v S X R l b T 4 8 S X R l b T 4 8 S X R l b U x v Y 2 F 0 a W 9 u P j x J d G V t V H l w Z T 5 G b 3 J t d W x h P C 9 J d G V t V H l w Z T 4 8 S X R l b V B h d G g + U 2 V j d G l v b j E v V G J s Q 2 F 0 Z W d v c m l l c y 9 D a G F u Z 2 V k J T I w V H l w Z T w v S X R l b V B h d G g + P C 9 J d G V t T G 9 j Y X R p b 2 4 + P F N 0 Y W J s Z U V u d H J p Z X M g L z 4 8 L 0 l 0 Z W 0 + P E l 0 Z W 0 + P E l 0 Z W 1 M b 2 N h d G l v b j 4 8 S X R l b V R 5 c G U + R m 9 y b X V s Y T w v S X R l b V R 5 c G U + P E l 0 Z W 1 Q Y X R o P l N l Y 3 R p b 2 4 x L 1 R i b E J 1 Z G d l d C 9 N Z X J n Z W Q l M j B D b 2 x 1 b W 5 z P C 9 J d G V t U G F 0 a D 4 8 L 0 l 0 Z W 1 M b 2 N h d G l v b j 4 8 U 3 R h Y m x l R W 5 0 c m l l c y A v P j w v S X R l b T 4 8 S X R l b T 4 8 S X R l b U x v Y 2 F 0 a W 9 u P j x J d G V t V H l w Z T 5 G b 3 J t d W x h P C 9 J d G V t V H l w Z T 4 8 S X R l b V B h d G g + U 2 V j d G l v b j E v V G J s Q n V k Z 2 V 0 L 0 N o Y W 5 n Z W Q l M j B U e X B l M T w v S X R l b V B h d G g + P C 9 J d G V t T G 9 j Y X R p b 2 4 + P F N 0 Y W J s Z U V u d H J p Z X M g L z 4 8 L 0 l 0 Z W 0 + P E l 0 Z W 0 + P E l 0 Z W 1 M b 2 N h d G l v b j 4 8 S X R l b V R 5 c G U + R m 9 y b X V s Y T w v S X R l b V R 5 c G U + P E l 0 Z W 1 Q Y X R o P l N l Y 3 R p b 2 4 x L 1 R i b E J 1 Z G d l d C 9 S Z W 5 h b W V k J T I w Q 2 9 s d W 1 u c z w v S X R l b V B h d G g + P C 9 J d G V t T G 9 j Y X R p b 2 4 + P F N 0 Y W J s Z U V u d H J p Z X M g L z 4 8 L 0 l 0 Z W 0 + P E l 0 Z W 0 + P E l 0 Z W 1 M b 2 N h d G l v b j 4 8 S X R l b V R 5 c G U + R m 9 y b X V s Y T w v S X R l b V R 5 c G U + P E l 0 Z W 1 Q Y X R o P l N l Y 3 R p b 2 4 x L 0 R h d G E v R X h w Y W 5 k Z W Q l M j B U Y m x E V j w v S X R l b V B h d G g + P C 9 J d G V t T G 9 j Y X R p b 2 4 + P F N 0 Y W J s Z U V u d H J p Z X M g L z 4 8 L 0 l 0 Z W 0 + P C 9 J d G V t c z 4 8 L 0 x v Y 2 F s U G F j a 2 F n Z U 1 l d G F k Y X R h R m l s Z T 4 W A A A A U E s F B g A A A A A A A A A A A A A A A A A A A A A A A C Y B A A A B A A A A 0 I y d 3 w E V 0 R G M e g D A T 8 K X 6 w E A A A B C B 1 J 5 q R p 3 S Z v j E y U 1 O A K e A A A A A A I A A A A A A B B m A A A A A Q A A I A A A A H 6 t y i W K w M R a K F J / + l X z q W Q W K c t k 5 1 k f y h T w R y v A / R C 9 A A A A A A 6 A A A A A A g A A I A A A A L C 3 o 8 c 6 f Q L D p h s T 5 1 u H m f i o u 9 1 Q b B 5 A J e r s P 2 6 9 v u 1 L U A A A A P S e j + 3 J 2 h I c E y D o 6 5 g p p y F Q k T V v v o 1 6 A P k J X a r B 9 f w T s 5 h p v S P V j U n d c w 3 l F Z a 8 w E A i 4 t 0 6 5 s H F j o Y M n 9 k b H 0 o Q h M y k r t 6 6 P x x 1 D Z o a m + S I Q A A A A P 2 p l o U i v I o 1 v q 1 q 9 Q Q D t b F 6 V I + n o j 2 v q 8 Y 1 W j r J L E q 2 D O h / H 8 b 0 W b Y s x O 2 9 P d 5 V Y d Q n R G y D p d F s k O o U e 6 I S 3 G Q = < / D a t a M a s h u p > 
</file>

<file path=customXml/itemProps1.xml><?xml version="1.0" encoding="utf-8"?>
<ds:datastoreItem xmlns:ds="http://schemas.openxmlformats.org/officeDocument/2006/customXml" ds:itemID="{A018FE13-F58F-4C68-A61D-6A300FAF695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6</vt:i4>
      </vt:variant>
    </vt:vector>
  </HeadingPairs>
  <TitlesOfParts>
    <vt:vector size="20" baseType="lpstr">
      <vt:lpstr>🏠 Start Here!</vt:lpstr>
      <vt:lpstr>🔒 Debts</vt:lpstr>
      <vt:lpstr>🧨 Debt Planner</vt:lpstr>
      <vt:lpstr>🏡 Mortgage Calc</vt:lpstr>
      <vt:lpstr>🧩 Categories</vt:lpstr>
      <vt:lpstr>🎯 Budget</vt:lpstr>
      <vt:lpstr>🏦 Transactions</vt:lpstr>
      <vt:lpstr>📊 Report</vt:lpstr>
      <vt:lpstr>💰 Savings</vt:lpstr>
      <vt:lpstr>📈 Net Worth</vt:lpstr>
      <vt:lpstr>🧮 Analysis</vt:lpstr>
      <vt:lpstr>Nov Data</vt:lpstr>
      <vt:lpstr>More Resources</vt:lpstr>
      <vt:lpstr>Copyright</vt:lpstr>
      <vt:lpstr>'🧩 Categories'!Categories</vt:lpstr>
      <vt:lpstr>Debt</vt:lpstr>
      <vt:lpstr>Sub_Categories</vt:lpstr>
      <vt:lpstr>Sub_category</vt:lpstr>
      <vt:lpstr>'🧩 Categories'!subcategories</vt:lpstr>
      <vt:lpstr>subcategories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Mynda Treacy</dc:creator>
  <cp:keywords/>
  <dc:description/>
  <cp:lastModifiedBy>Tom Lawrence</cp:lastModifiedBy>
  <cp:revision/>
  <dcterms:created xsi:type="dcterms:W3CDTF">2023-12-07T10:50:23Z</dcterms:created>
  <dcterms:modified xsi:type="dcterms:W3CDTF">2026-06-01T09:51:12Z</dcterms:modified>
  <cp:category/>
  <cp:contentStatus/>
</cp:coreProperties>
</file>